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mila\Documents\Traducciones Aguas Andinas\2022\IAM\"/>
    </mc:Choice>
  </mc:AlternateContent>
  <xr:revisionPtr revIDLastSave="1" documentId="13_ncr:1_{7503253C-C146-4AEB-94C1-77667BE9E133}" xr6:coauthVersionLast="47" xr6:coauthVersionMax="47" xr10:uidLastSave="{46FD6769-673F-418A-8DC3-5CE05F43FDEF}"/>
  <bookViews>
    <workbookView xWindow="-110" yWindow="-110" windowWidth="19420" windowHeight="10420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Hoja2" sheetId="31" r:id="rId5"/>
    <sheet name="Estado de situación financiera" sheetId="8" r:id="rId6"/>
    <sheet name="Deuda Financiera" sheetId="23" r:id="rId7"/>
    <sheet name="Flujo de efectivo" sheetId="17" r:id="rId8"/>
    <sheet name="Indicadores" sheetId="15" r:id="rId9"/>
    <sheet name="cálculos" sheetId="4" r:id="rId10"/>
    <sheet name="Balance" sheetId="11" r:id="rId11"/>
    <sheet name="Resultado" sheetId="12" r:id="rId12"/>
    <sheet name="Flujo" sheetId="13" r:id="rId13"/>
    <sheet name="Anualizados" sheetId="10" r:id="rId14"/>
    <sheet name="Valor acción" sheetId="28" r:id="rId15"/>
    <sheet name="Hoja1" sheetId="30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Hlk47472038" localSheetId="2">'Resultados por Segmento'!$B$10</definedName>
    <definedName name="_Hlk7012373" localSheetId="2">'Resultados por Segmento'!$J$3</definedName>
    <definedName name="_Hlk70934545" localSheetId="1">Resultados!$L$41</definedName>
    <definedName name="_Hlk77951430" localSheetId="2">'Resultados por Segmento'!$J$3</definedName>
    <definedName name="Base">'[1]ER-Mod'!$B$3</definedName>
    <definedName name="empresa">'[1]ER-Mod'!$A$2</definedName>
    <definedName name="key">'[1]ER-Mod'!$B$2</definedName>
    <definedName name="_xlnm.Print_Area" localSheetId="9">cálculos!$H$4:$L$50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1" i="13" l="1"/>
  <c r="E65" i="13"/>
  <c r="E63" i="13"/>
  <c r="E62" i="13"/>
  <c r="E58" i="13"/>
  <c r="E54" i="13"/>
  <c r="E56" i="13" s="1"/>
  <c r="E48" i="13"/>
  <c r="E36" i="13"/>
  <c r="E34" i="13"/>
  <c r="E33" i="13"/>
  <c r="E23" i="13"/>
  <c r="E22" i="13"/>
  <c r="E21" i="13"/>
  <c r="E20" i="13"/>
  <c r="E17" i="13"/>
  <c r="E15" i="13"/>
  <c r="E14" i="13"/>
  <c r="E13" i="13"/>
  <c r="E11" i="13"/>
  <c r="E9" i="13"/>
  <c r="E5" i="13"/>
  <c r="H27" i="18" l="1"/>
  <c r="F26" i="18"/>
  <c r="F7" i="15" l="1"/>
  <c r="F12" i="15"/>
  <c r="D14" i="31" l="1"/>
  <c r="D10" i="31"/>
  <c r="D9" i="31"/>
  <c r="D4" i="31"/>
  <c r="C14" i="31"/>
  <c r="G14" i="31" s="1"/>
  <c r="E14" i="31" s="1"/>
  <c r="C4" i="31"/>
  <c r="G4" i="31" s="1"/>
  <c r="F29" i="12"/>
  <c r="G29" i="12"/>
  <c r="G26" i="12"/>
  <c r="F26" i="12"/>
  <c r="G19" i="12"/>
  <c r="D12" i="31" s="1"/>
  <c r="F19" i="12"/>
  <c r="C12" i="31" s="1"/>
  <c r="G16" i="12"/>
  <c r="F16" i="12"/>
  <c r="G15" i="12"/>
  <c r="F15" i="12"/>
  <c r="G14" i="12"/>
  <c r="F14" i="12"/>
  <c r="G13" i="12"/>
  <c r="D11" i="31" s="1"/>
  <c r="F13" i="12"/>
  <c r="C11" i="31" s="1"/>
  <c r="G11" i="12"/>
  <c r="F11" i="12"/>
  <c r="C9" i="31" s="1"/>
  <c r="G9" i="31" s="1"/>
  <c r="E9" i="31" s="1"/>
  <c r="G10" i="12"/>
  <c r="F10" i="12"/>
  <c r="G9" i="12"/>
  <c r="F9" i="12"/>
  <c r="G8" i="12"/>
  <c r="D7" i="31" s="1"/>
  <c r="F8" i="12"/>
  <c r="C7" i="31" s="1"/>
  <c r="G7" i="12"/>
  <c r="F7" i="12"/>
  <c r="G6" i="12"/>
  <c r="D5" i="31" s="1"/>
  <c r="F6" i="12"/>
  <c r="C5" i="31" s="1"/>
  <c r="G5" i="12"/>
  <c r="F5" i="12"/>
  <c r="G13" i="31"/>
  <c r="E13" i="31" s="1"/>
  <c r="G10" i="31"/>
  <c r="E10" i="31" s="1"/>
  <c r="C10" i="31"/>
  <c r="D6" i="31" l="1"/>
  <c r="D8" i="31" s="1"/>
  <c r="D16" i="31" s="1"/>
  <c r="G7" i="31"/>
  <c r="E7" i="31" s="1"/>
  <c r="G12" i="31"/>
  <c r="E12" i="31" s="1"/>
  <c r="G11" i="31"/>
  <c r="E11" i="31" s="1"/>
  <c r="L5" i="12"/>
  <c r="E4" i="31" s="1"/>
  <c r="H14" i="18" l="1"/>
  <c r="H15" i="18" s="1"/>
  <c r="G15" i="18"/>
  <c r="G18" i="18" s="1"/>
  <c r="F8" i="23" l="1"/>
  <c r="F9" i="23" s="1"/>
  <c r="H8" i="23"/>
  <c r="H9" i="23" s="1"/>
  <c r="G8" i="23"/>
  <c r="G9" i="23" s="1"/>
  <c r="E8" i="23" l="1"/>
  <c r="E9" i="23" s="1"/>
  <c r="D20" i="29" l="1"/>
  <c r="D21" i="29"/>
  <c r="D22" i="29"/>
  <c r="D23" i="29"/>
  <c r="D24" i="29"/>
  <c r="D25" i="29"/>
  <c r="D26" i="29"/>
  <c r="D27" i="29"/>
  <c r="D28" i="29"/>
  <c r="D29" i="29"/>
  <c r="C21" i="29"/>
  <c r="C22" i="29"/>
  <c r="C23" i="29"/>
  <c r="C24" i="29"/>
  <c r="C25" i="29"/>
  <c r="C26" i="29"/>
  <c r="C27" i="29"/>
  <c r="C28" i="29"/>
  <c r="C29" i="29"/>
  <c r="C20" i="29"/>
  <c r="D4" i="29"/>
  <c r="E4" i="29"/>
  <c r="D5" i="29"/>
  <c r="E5" i="29"/>
  <c r="D6" i="29"/>
  <c r="E6" i="29"/>
  <c r="D7" i="29"/>
  <c r="E7" i="29"/>
  <c r="D8" i="29"/>
  <c r="E8" i="29"/>
  <c r="D9" i="29"/>
  <c r="E9" i="29"/>
  <c r="D10" i="29"/>
  <c r="E10" i="29"/>
  <c r="D11" i="29"/>
  <c r="E11" i="29"/>
  <c r="D12" i="29"/>
  <c r="E12" i="29"/>
  <c r="D13" i="29"/>
  <c r="E13" i="29"/>
  <c r="D14" i="29"/>
  <c r="E14" i="29"/>
  <c r="C7" i="29"/>
  <c r="C8" i="29"/>
  <c r="C9" i="29"/>
  <c r="C10" i="29"/>
  <c r="C11" i="29"/>
  <c r="C12" i="29"/>
  <c r="C13" i="29"/>
  <c r="C14" i="29"/>
  <c r="C6" i="29"/>
  <c r="C5" i="29"/>
  <c r="C4" i="29"/>
  <c r="D45" i="18"/>
  <c r="D44" i="18"/>
  <c r="D43" i="18"/>
  <c r="D42" i="18"/>
  <c r="C45" i="18"/>
  <c r="C44" i="18"/>
  <c r="C43" i="18"/>
  <c r="C42" i="18"/>
  <c r="D37" i="18"/>
  <c r="D36" i="18"/>
  <c r="C37" i="18"/>
  <c r="C36" i="18"/>
  <c r="D33" i="18"/>
  <c r="D32" i="18"/>
  <c r="D31" i="18"/>
  <c r="D30" i="18"/>
  <c r="C33" i="18"/>
  <c r="C32" i="18"/>
  <c r="C31" i="18"/>
  <c r="C30" i="18"/>
  <c r="F25" i="18"/>
  <c r="F24" i="18"/>
  <c r="G23" i="18"/>
  <c r="F23" i="18"/>
  <c r="D36" i="4" l="1"/>
  <c r="D35" i="4"/>
  <c r="E64" i="11" l="1"/>
  <c r="D64" i="11"/>
  <c r="D59" i="11"/>
  <c r="E59" i="11"/>
  <c r="D60" i="11"/>
  <c r="E60" i="11"/>
  <c r="D61" i="11"/>
  <c r="E61" i="11"/>
  <c r="D62" i="11"/>
  <c r="E62" i="11"/>
  <c r="E58" i="11"/>
  <c r="D58" i="11"/>
  <c r="D47" i="11"/>
  <c r="E47" i="11"/>
  <c r="D48" i="11"/>
  <c r="E48" i="11"/>
  <c r="D49" i="11"/>
  <c r="E49" i="11"/>
  <c r="D50" i="11"/>
  <c r="E50" i="11"/>
  <c r="D51" i="11"/>
  <c r="E51" i="11"/>
  <c r="D52" i="11"/>
  <c r="E52" i="11"/>
  <c r="D53" i="11"/>
  <c r="E53" i="11"/>
  <c r="E46" i="11"/>
  <c r="D46" i="11"/>
  <c r="E43" i="11"/>
  <c r="D43" i="11"/>
  <c r="E41" i="11"/>
  <c r="E40" i="11"/>
  <c r="E39" i="11"/>
  <c r="E38" i="11"/>
  <c r="E37" i="11"/>
  <c r="E36" i="11"/>
  <c r="E35" i="11"/>
  <c r="E34" i="11"/>
  <c r="D35" i="11"/>
  <c r="D36" i="11"/>
  <c r="D37" i="11"/>
  <c r="D38" i="11"/>
  <c r="D39" i="11"/>
  <c r="D40" i="11"/>
  <c r="D41" i="11"/>
  <c r="D34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D25" i="11"/>
  <c r="E25" i="11"/>
  <c r="E17" i="11"/>
  <c r="D17" i="11"/>
  <c r="E14" i="11"/>
  <c r="D14" i="11"/>
  <c r="E6" i="11"/>
  <c r="E7" i="11"/>
  <c r="E8" i="11"/>
  <c r="E9" i="11"/>
  <c r="E10" i="11"/>
  <c r="E11" i="11"/>
  <c r="E12" i="11"/>
  <c r="D7" i="11"/>
  <c r="D8" i="11"/>
  <c r="D9" i="11"/>
  <c r="D10" i="11"/>
  <c r="D11" i="11"/>
  <c r="D12" i="11"/>
  <c r="D6" i="11"/>
  <c r="D3" i="11"/>
  <c r="E3" i="13"/>
  <c r="E3" i="12"/>
  <c r="D3" i="12"/>
  <c r="E29" i="12"/>
  <c r="D29" i="12"/>
  <c r="E26" i="12"/>
  <c r="D26" i="12"/>
  <c r="E19" i="12"/>
  <c r="D19" i="12"/>
  <c r="E16" i="12"/>
  <c r="D16" i="12"/>
  <c r="E15" i="12"/>
  <c r="D15" i="12"/>
  <c r="E14" i="12"/>
  <c r="D14" i="12"/>
  <c r="E13" i="12"/>
  <c r="D13" i="12"/>
  <c r="E11" i="12"/>
  <c r="E10" i="12"/>
  <c r="E9" i="12"/>
  <c r="E8" i="12"/>
  <c r="E7" i="12"/>
  <c r="E6" i="12"/>
  <c r="E5" i="12"/>
  <c r="D6" i="12"/>
  <c r="D7" i="12"/>
  <c r="D8" i="12"/>
  <c r="D9" i="12"/>
  <c r="D10" i="12"/>
  <c r="D11" i="12"/>
  <c r="D5" i="12"/>
  <c r="D71" i="13"/>
  <c r="D65" i="13"/>
  <c r="D63" i="13"/>
  <c r="D62" i="13"/>
  <c r="D58" i="13"/>
  <c r="D54" i="13"/>
  <c r="D48" i="13"/>
  <c r="D36" i="13"/>
  <c r="D34" i="13"/>
  <c r="D33" i="13"/>
  <c r="D23" i="13"/>
  <c r="D22" i="13"/>
  <c r="D21" i="13"/>
  <c r="D20" i="13"/>
  <c r="D17" i="13"/>
  <c r="E12" i="13"/>
  <c r="E7" i="13"/>
  <c r="E6" i="13"/>
  <c r="D15" i="13"/>
  <c r="D14" i="13"/>
  <c r="D13" i="13"/>
  <c r="D12" i="13"/>
  <c r="D11" i="13"/>
  <c r="D10" i="13"/>
  <c r="D9" i="13"/>
  <c r="D8" i="13"/>
  <c r="D5" i="13"/>
  <c r="D3" i="13"/>
  <c r="E16" i="13" l="1"/>
  <c r="F43" i="4"/>
  <c r="F44" i="4" s="1"/>
  <c r="J62" i="13" l="1"/>
  <c r="J63" i="13" s="1"/>
  <c r="D64" i="13"/>
  <c r="B35" i="23" l="1"/>
  <c r="B34" i="23"/>
  <c r="H14" i="23" s="1"/>
  <c r="J8" i="23"/>
  <c r="J5" i="23"/>
  <c r="J4" i="23"/>
  <c r="J3" i="23"/>
  <c r="C44" i="4" l="1"/>
  <c r="E61" i="13" l="1"/>
  <c r="D61" i="13"/>
  <c r="E60" i="13"/>
  <c r="D60" i="13"/>
  <c r="E59" i="13"/>
  <c r="D59" i="13"/>
  <c r="E35" i="13"/>
  <c r="D35" i="13"/>
  <c r="D6" i="13" l="1"/>
  <c r="D7" i="13"/>
  <c r="E66" i="13"/>
  <c r="D56" i="13"/>
  <c r="G3" i="12"/>
  <c r="F3" i="12"/>
  <c r="E21" i="12"/>
  <c r="D21" i="12"/>
  <c r="E3" i="11"/>
  <c r="G21" i="12"/>
  <c r="D13" i="24" s="1"/>
  <c r="O6" i="12" l="1"/>
  <c r="O5" i="12"/>
  <c r="E49" i="13"/>
  <c r="D66" i="13"/>
  <c r="E24" i="13"/>
  <c r="D14" i="24"/>
  <c r="D12" i="24"/>
  <c r="D9" i="24"/>
  <c r="D10" i="24"/>
  <c r="D7" i="24"/>
  <c r="D4" i="24"/>
  <c r="C14" i="24"/>
  <c r="G14" i="24" s="1"/>
  <c r="E14" i="24" s="1"/>
  <c r="F21" i="12"/>
  <c r="C13" i="24" s="1"/>
  <c r="G13" i="24" s="1"/>
  <c r="E13" i="24" s="1"/>
  <c r="C12" i="24"/>
  <c r="C9" i="24"/>
  <c r="C10" i="24"/>
  <c r="C7" i="24"/>
  <c r="C4" i="24"/>
  <c r="G12" i="24" l="1"/>
  <c r="E12" i="24" s="1"/>
  <c r="G7" i="24"/>
  <c r="E7" i="24" s="1"/>
  <c r="E67" i="13"/>
  <c r="E70" i="13" s="1"/>
  <c r="G10" i="24"/>
  <c r="E10" i="24" s="1"/>
  <c r="G4" i="24"/>
  <c r="E4" i="24" s="1"/>
  <c r="D5" i="24"/>
  <c r="D6" i="24" s="1"/>
  <c r="D8" i="24" s="1"/>
  <c r="C5" i="24"/>
  <c r="G9" i="24"/>
  <c r="E9" i="24" s="1"/>
  <c r="D11" i="24"/>
  <c r="C11" i="24"/>
  <c r="G11" i="24" s="1"/>
  <c r="E11" i="24" s="1"/>
  <c r="D13" i="11"/>
  <c r="D15" i="11" s="1"/>
  <c r="D26" i="11"/>
  <c r="D15" i="24" l="1"/>
  <c r="E72" i="13"/>
  <c r="E74" i="13" s="1"/>
  <c r="O7" i="12"/>
  <c r="G5" i="24"/>
  <c r="E5" i="24" s="1"/>
  <c r="C6" i="24"/>
  <c r="D28" i="11"/>
  <c r="C8" i="24" l="1"/>
  <c r="G6" i="24"/>
  <c r="E6" i="24" s="1"/>
  <c r="G17" i="13"/>
  <c r="H17" i="13" s="1"/>
  <c r="C15" i="24" l="1"/>
  <c r="G15" i="24" s="1"/>
  <c r="E15" i="24" s="1"/>
  <c r="G8" i="24"/>
  <c r="E8" i="24" s="1"/>
  <c r="D49" i="4" l="1"/>
  <c r="G13" i="29" l="1"/>
  <c r="D14" i="18"/>
  <c r="C14" i="18"/>
  <c r="F14" i="18" l="1"/>
  <c r="E14" i="18" s="1"/>
  <c r="G62" i="11" l="1"/>
  <c r="H62" i="11" s="1"/>
  <c r="L10" i="4"/>
  <c r="J10" i="4"/>
  <c r="G14" i="29" l="1"/>
  <c r="G12" i="29"/>
  <c r="G11" i="29"/>
  <c r="G10" i="29"/>
  <c r="G9" i="29"/>
  <c r="G8" i="29"/>
  <c r="G7" i="29"/>
  <c r="G6" i="29"/>
  <c r="G5" i="29"/>
  <c r="G29" i="29" l="1"/>
  <c r="E29" i="29" s="1"/>
  <c r="G28" i="29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C10" i="18" l="1"/>
  <c r="D10" i="18"/>
  <c r="F10" i="18" l="1"/>
  <c r="E10" i="18" s="1"/>
  <c r="C65" i="4" l="1"/>
  <c r="C62" i="4"/>
  <c r="E32" i="4" l="1"/>
  <c r="D32" i="4"/>
  <c r="E3" i="15" l="1"/>
  <c r="D3" i="17"/>
  <c r="C3" i="17"/>
  <c r="H7" i="23" l="1"/>
  <c r="G7" i="23"/>
  <c r="F7" i="23"/>
  <c r="D6" i="23" l="1"/>
  <c r="E7" i="23"/>
  <c r="K6" i="23" l="1"/>
  <c r="C20" i="18"/>
  <c r="D13" i="18" l="1"/>
  <c r="C13" i="18"/>
  <c r="D12" i="12"/>
  <c r="F13" i="18" l="1"/>
  <c r="E13" i="18" s="1"/>
  <c r="L21" i="12"/>
  <c r="M21" i="12" s="1"/>
  <c r="C66" i="4"/>
  <c r="D66" i="4"/>
  <c r="I21" i="12"/>
  <c r="J21" i="12" s="1"/>
  <c r="D46" i="18" l="1"/>
  <c r="C46" i="18"/>
  <c r="G37" i="18" l="1"/>
  <c r="E37" i="18" s="1"/>
  <c r="G36" i="18"/>
  <c r="E36" i="18" s="1"/>
  <c r="G33" i="18"/>
  <c r="E33" i="18" s="1"/>
  <c r="G32" i="18"/>
  <c r="E32" i="18" s="1"/>
  <c r="G31" i="18"/>
  <c r="E31" i="18" s="1"/>
  <c r="G30" i="18"/>
  <c r="E30" i="18" s="1"/>
  <c r="D12" i="18" l="1"/>
  <c r="C12" i="18"/>
  <c r="D11" i="18"/>
  <c r="C11" i="18"/>
  <c r="D9" i="18"/>
  <c r="C9" i="18"/>
  <c r="D7" i="18"/>
  <c r="C7" i="18"/>
  <c r="D5" i="18"/>
  <c r="C5" i="18"/>
  <c r="D4" i="18"/>
  <c r="H28" i="18" s="1"/>
  <c r="C4" i="18"/>
  <c r="G12" i="12"/>
  <c r="G18" i="12" s="1"/>
  <c r="D6" i="18" l="1"/>
  <c r="C6" i="18"/>
  <c r="E12" i="12"/>
  <c r="F12" i="12"/>
  <c r="F18" i="12" s="1"/>
  <c r="C27" i="18"/>
  <c r="C28" i="18" s="1"/>
  <c r="F27" i="18"/>
  <c r="F28" i="18" s="1"/>
  <c r="C8" i="18" l="1"/>
  <c r="D8" i="18"/>
  <c r="G25" i="18"/>
  <c r="G24" i="18"/>
  <c r="G26" i="18"/>
  <c r="D27" i="18"/>
  <c r="F4" i="18"/>
  <c r="E4" i="18" s="1"/>
  <c r="F5" i="18"/>
  <c r="E5" i="18" s="1"/>
  <c r="F7" i="18"/>
  <c r="E7" i="18" s="1"/>
  <c r="F9" i="18"/>
  <c r="E9" i="18" s="1"/>
  <c r="F11" i="18"/>
  <c r="F12" i="18"/>
  <c r="E12" i="18" l="1"/>
  <c r="E11" i="18"/>
  <c r="G27" i="18"/>
  <c r="F6" i="18"/>
  <c r="E6" i="18" s="1"/>
  <c r="F8" i="18"/>
  <c r="E8" i="18" s="1"/>
  <c r="E18" i="12" l="1"/>
  <c r="D18" i="12"/>
  <c r="H19" i="13" l="1"/>
  <c r="H18" i="13"/>
  <c r="G13" i="8" l="1"/>
  <c r="G9" i="8"/>
  <c r="H10" i="23" l="1"/>
  <c r="G10" i="23"/>
  <c r="E10" i="23"/>
  <c r="F10" i="23" l="1"/>
  <c r="C64" i="11" l="1"/>
  <c r="C63" i="11"/>
  <c r="C61" i="11"/>
  <c r="C60" i="11"/>
  <c r="C59" i="11"/>
  <c r="C58" i="11"/>
  <c r="C53" i="11"/>
  <c r="C52" i="11"/>
  <c r="C51" i="11"/>
  <c r="C50" i="11"/>
  <c r="C48" i="11"/>
  <c r="C46" i="11"/>
  <c r="C41" i="11"/>
  <c r="C40" i="11"/>
  <c r="C39" i="11"/>
  <c r="C38" i="11"/>
  <c r="C37" i="11"/>
  <c r="C36" i="11"/>
  <c r="C34" i="11"/>
  <c r="C25" i="11"/>
  <c r="C23" i="11"/>
  <c r="C22" i="11"/>
  <c r="C21" i="11"/>
  <c r="C19" i="11"/>
  <c r="C18" i="11"/>
  <c r="C17" i="11"/>
  <c r="C14" i="11"/>
  <c r="C12" i="11"/>
  <c r="I10" i="12" l="1"/>
  <c r="J10" i="12" s="1"/>
  <c r="I11" i="12"/>
  <c r="J11" i="12" s="1"/>
  <c r="I14" i="12"/>
  <c r="J14" i="12" s="1"/>
  <c r="I15" i="12"/>
  <c r="J15" i="12" s="1"/>
  <c r="I16" i="12"/>
  <c r="J16" i="12" s="1"/>
  <c r="C13" i="12"/>
  <c r="C14" i="12" s="1"/>
  <c r="C7" i="12"/>
  <c r="E31" i="11"/>
  <c r="D31" i="11"/>
  <c r="I13" i="12" l="1"/>
  <c r="J13" i="12" s="1"/>
  <c r="D4" i="23" l="1"/>
  <c r="D5" i="23"/>
  <c r="E27" i="4"/>
  <c r="D34" i="23" l="1"/>
  <c r="D15" i="23"/>
  <c r="B36" i="23"/>
  <c r="D14" i="23"/>
  <c r="K5" i="23"/>
  <c r="I23" i="18" l="1"/>
  <c r="J23" i="18" s="1"/>
  <c r="I24" i="18"/>
  <c r="J24" i="18" s="1"/>
  <c r="I25" i="18"/>
  <c r="I26" i="18"/>
  <c r="J26" i="18" l="1"/>
  <c r="J25" i="18"/>
  <c r="I27" i="18"/>
  <c r="G6" i="13"/>
  <c r="G7" i="13" l="1"/>
  <c r="D3" i="23" l="1"/>
  <c r="D13" i="23" s="1"/>
  <c r="K4" i="23"/>
  <c r="D8" i="23"/>
  <c r="D16" i="23" s="1"/>
  <c r="B37" i="23" l="1"/>
  <c r="D7" i="23"/>
  <c r="B38" i="23"/>
  <c r="D9" i="23"/>
  <c r="K3" i="23"/>
  <c r="K8" i="23"/>
  <c r="H13" i="23" l="1"/>
  <c r="D10" i="23"/>
  <c r="B39" i="23"/>
  <c r="J42" i="18"/>
  <c r="E42" i="18" s="1"/>
  <c r="J43" i="18"/>
  <c r="E43" i="18" s="1"/>
  <c r="J44" i="18"/>
  <c r="E44" i="18" s="1"/>
  <c r="J45" i="18"/>
  <c r="E45" i="18" s="1"/>
  <c r="C37" i="23" l="1"/>
  <c r="C34" i="23"/>
  <c r="C43" i="23" s="1"/>
  <c r="C35" i="23"/>
  <c r="C36" i="23"/>
  <c r="C38" i="23"/>
  <c r="D39" i="23"/>
  <c r="G13" i="23"/>
  <c r="G14" i="23"/>
  <c r="C15" i="23"/>
  <c r="C16" i="23"/>
  <c r="G30" i="12"/>
  <c r="F30" i="12"/>
  <c r="E30" i="12"/>
  <c r="G20" i="12"/>
  <c r="C48" i="23" l="1"/>
  <c r="C47" i="23"/>
  <c r="C45" i="23"/>
  <c r="C42" i="23"/>
  <c r="C46" i="23"/>
  <c r="G23" i="12"/>
  <c r="G25" i="12" s="1"/>
  <c r="D15" i="31" s="1"/>
  <c r="C39" i="23"/>
  <c r="D30" i="12"/>
  <c r="E20" i="12"/>
  <c r="D20" i="12"/>
  <c r="D23" i="12" s="1"/>
  <c r="D25" i="12" s="1"/>
  <c r="G27" i="12" l="1"/>
  <c r="E23" i="12"/>
  <c r="E25" i="12" s="1"/>
  <c r="C49" i="23"/>
  <c r="C44" i="23"/>
  <c r="J46" i="18"/>
  <c r="K46" i="18" s="1"/>
  <c r="E41" i="18"/>
  <c r="D15" i="18" l="1"/>
  <c r="E27" i="12"/>
  <c r="D27" i="12"/>
  <c r="C15" i="18"/>
  <c r="G3" i="29"/>
  <c r="D3" i="29"/>
  <c r="D19" i="29" s="1"/>
  <c r="C3" i="29"/>
  <c r="C19" i="29" s="1"/>
  <c r="F15" i="18" l="1"/>
  <c r="E15" i="18" s="1"/>
  <c r="G19" i="29"/>
  <c r="G4" i="29" l="1"/>
  <c r="I9" i="12" l="1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J28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D46" i="4"/>
  <c r="L49" i="4" s="1"/>
  <c r="M49" i="4" s="1"/>
  <c r="C46" i="4"/>
  <c r="J49" i="4" s="1"/>
  <c r="L39" i="4"/>
  <c r="L42" i="4" s="1"/>
  <c r="D30" i="4"/>
  <c r="D27" i="4"/>
  <c r="P33" i="4"/>
  <c r="E30" i="4"/>
  <c r="E29" i="4"/>
  <c r="E28" i="4"/>
  <c r="L30" i="4"/>
  <c r="L24" i="4"/>
  <c r="L29" i="4"/>
  <c r="L27" i="4"/>
  <c r="L26" i="4"/>
  <c r="L28" i="4"/>
  <c r="D16" i="4"/>
  <c r="C49" i="4" s="1"/>
  <c r="L4" i="4"/>
  <c r="J4" i="4"/>
  <c r="F34" i="4" l="1"/>
  <c r="J30" i="4"/>
  <c r="C61" i="4"/>
  <c r="D18" i="4"/>
  <c r="J35" i="4" s="1"/>
  <c r="C56" i="4"/>
  <c r="E18" i="4"/>
  <c r="L35" i="4" s="1"/>
  <c r="F15" i="4"/>
  <c r="E31" i="4"/>
  <c r="E33" i="4" s="1"/>
  <c r="E34" i="4" s="1"/>
  <c r="L32" i="4"/>
  <c r="E22" i="4" s="1"/>
  <c r="L45" i="4"/>
  <c r="M45" i="4" s="1"/>
  <c r="L23" i="4"/>
  <c r="M23" i="4" s="1"/>
  <c r="D61" i="4"/>
  <c r="D56" i="4"/>
  <c r="K49" i="4"/>
  <c r="O49" i="4" s="1"/>
  <c r="P49" i="4"/>
  <c r="D19" i="4"/>
  <c r="E19" i="4"/>
  <c r="P35" i="4" l="1"/>
  <c r="C64" i="4"/>
  <c r="D64" i="4"/>
  <c r="Q10" i="4"/>
  <c r="P10" i="4"/>
  <c r="E20" i="4" l="1"/>
  <c r="C11" i="10" s="1"/>
  <c r="D68" i="4"/>
  <c r="D69" i="4" s="1"/>
  <c r="E23" i="4" s="1"/>
  <c r="D20" i="4"/>
  <c r="C12" i="10" s="1"/>
  <c r="C68" i="4"/>
  <c r="C69" i="4" s="1"/>
  <c r="D23" i="4" l="1"/>
  <c r="J26" i="4" s="1"/>
  <c r="J32" i="4" s="1"/>
  <c r="D22" i="4" s="1"/>
  <c r="G71" i="13"/>
  <c r="H71" i="13" s="1"/>
  <c r="G69" i="13"/>
  <c r="H69" i="13" s="1"/>
  <c r="G68" i="13"/>
  <c r="H68" i="13" s="1"/>
  <c r="G66" i="13"/>
  <c r="H66" i="13" s="1"/>
  <c r="G65" i="13"/>
  <c r="H65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7" i="13"/>
  <c r="H37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12" i="13"/>
  <c r="H12" i="13" s="1"/>
  <c r="G10" i="13"/>
  <c r="H10" i="13" s="1"/>
  <c r="G8" i="13"/>
  <c r="H8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F20" i="12" l="1"/>
  <c r="J5" i="12"/>
  <c r="M32" i="4"/>
  <c r="L8" i="12"/>
  <c r="M8" i="12" s="1"/>
  <c r="L26" i="12"/>
  <c r="M26" i="12" s="1"/>
  <c r="L6" i="12"/>
  <c r="L19" i="12"/>
  <c r="M19" i="12" s="1"/>
  <c r="L14" i="12"/>
  <c r="M14" i="12" s="1"/>
  <c r="L15" i="12"/>
  <c r="M15" i="12" s="1"/>
  <c r="L11" i="12"/>
  <c r="M11" i="12" s="1"/>
  <c r="L13" i="12"/>
  <c r="M13" i="12" s="1"/>
  <c r="M5" i="12"/>
  <c r="L10" i="12"/>
  <c r="M10" i="12" s="1"/>
  <c r="M6" i="12" l="1"/>
  <c r="F23" i="12"/>
  <c r="F25" i="12" s="1"/>
  <c r="C15" i="31" s="1"/>
  <c r="G15" i="31" s="1"/>
  <c r="E15" i="31" s="1"/>
  <c r="L20" i="12"/>
  <c r="M20" i="12" s="1"/>
  <c r="L7" i="12"/>
  <c r="M7" i="12" s="1"/>
  <c r="L16" i="12"/>
  <c r="M16" i="12" s="1"/>
  <c r="G5" i="31" l="1"/>
  <c r="E5" i="31" s="1"/>
  <c r="C6" i="31"/>
  <c r="G6" i="31" s="1"/>
  <c r="E6" i="31" s="1"/>
  <c r="F27" i="12"/>
  <c r="L27" i="12" s="1"/>
  <c r="M27" i="12" s="1"/>
  <c r="L23" i="12"/>
  <c r="M23" i="12" s="1"/>
  <c r="D6" i="17"/>
  <c r="E6" i="17" s="1"/>
  <c r="C6" i="17"/>
  <c r="D5" i="17"/>
  <c r="C3" i="8"/>
  <c r="D29" i="18"/>
  <c r="C29" i="18"/>
  <c r="F20" i="18"/>
  <c r="C8" i="31" l="1"/>
  <c r="C22" i="8"/>
  <c r="D3" i="15"/>
  <c r="G6" i="17"/>
  <c r="D8" i="17"/>
  <c r="D4" i="17"/>
  <c r="D9" i="17" l="1"/>
  <c r="G8" i="31"/>
  <c r="E8" i="31" s="1"/>
  <c r="C16" i="31"/>
  <c r="C17" i="31" s="1"/>
  <c r="D35" i="18"/>
  <c r="D41" i="18" s="1"/>
  <c r="C35" i="18"/>
  <c r="C41" i="18" s="1"/>
  <c r="I18" i="12"/>
  <c r="L18" i="12" l="1"/>
  <c r="M18" i="12" s="1"/>
  <c r="J18" i="12"/>
  <c r="I20" i="12"/>
  <c r="J20" i="12" s="1"/>
  <c r="C13" i="23"/>
  <c r="J27" i="18" l="1"/>
  <c r="E46" i="18"/>
  <c r="I23" i="12"/>
  <c r="J23" i="12" s="1"/>
  <c r="D7" i="17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C14" i="23" l="1"/>
  <c r="B16" i="23"/>
  <c r="B14" i="23"/>
  <c r="B13" i="23"/>
  <c r="C17" i="23" l="1"/>
  <c r="D16" i="15" l="1"/>
  <c r="G15" i="23" l="1"/>
  <c r="E16" i="15"/>
  <c r="F16" i="15" s="1"/>
  <c r="E11" i="15" l="1"/>
  <c r="E15" i="15"/>
  <c r="C3" i="10" l="1"/>
  <c r="C17" i="10" l="1"/>
  <c r="C18" i="10" l="1"/>
  <c r="C19" i="10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D11" i="15"/>
  <c r="F11" i="15" s="1"/>
  <c r="Q42" i="4" l="1"/>
  <c r="J45" i="4"/>
  <c r="K45" i="4" s="1"/>
  <c r="O45" i="4" s="1"/>
  <c r="P42" i="4"/>
  <c r="P45" i="4" l="1"/>
  <c r="D15" i="15"/>
  <c r="F15" i="15" s="1"/>
  <c r="D12" i="4" l="1"/>
  <c r="C15" i="8"/>
  <c r="D54" i="11" l="1"/>
  <c r="C11" i="8" s="1"/>
  <c r="D42" i="11"/>
  <c r="C6" i="8"/>
  <c r="D63" i="11"/>
  <c r="D7" i="4"/>
  <c r="C7" i="8"/>
  <c r="C8" i="8" l="1"/>
  <c r="D11" i="4"/>
  <c r="J20" i="4" s="1"/>
  <c r="D65" i="11"/>
  <c r="D13" i="4"/>
  <c r="J15" i="4" s="1"/>
  <c r="C14" i="8"/>
  <c r="D6" i="4"/>
  <c r="J7" i="4" s="1"/>
  <c r="D44" i="11"/>
  <c r="C10" i="8"/>
  <c r="C12" i="8" s="1"/>
  <c r="D8" i="4" l="1"/>
  <c r="D56" i="11"/>
  <c r="D10" i="4"/>
  <c r="C16" i="8"/>
  <c r="J8" i="4" l="1"/>
  <c r="K7" i="4" s="1"/>
  <c r="J14" i="4"/>
  <c r="D67" i="11"/>
  <c r="D69" i="11" s="1"/>
  <c r="D14" i="4"/>
  <c r="D15" i="4" s="1"/>
  <c r="J11" i="4"/>
  <c r="J17" i="4"/>
  <c r="J18" i="4"/>
  <c r="C17" i="8"/>
  <c r="K14" i="4" l="1"/>
  <c r="J21" i="4"/>
  <c r="C19" i="8"/>
  <c r="K10" i="4"/>
  <c r="D5" i="15"/>
  <c r="K17" i="4"/>
  <c r="K20" i="4" l="1"/>
  <c r="D6" i="15"/>
  <c r="D9" i="15"/>
  <c r="D8" i="15"/>
  <c r="D10" i="15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H23" i="11" l="1"/>
  <c r="J23" i="11"/>
  <c r="G8" i="1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E26" i="11"/>
  <c r="G36" i="11"/>
  <c r="H36" i="11" s="1"/>
  <c r="G40" i="11"/>
  <c r="H40" i="11" s="1"/>
  <c r="G47" i="11"/>
  <c r="H47" i="11" s="1"/>
  <c r="G59" i="11"/>
  <c r="H59" i="11" s="1"/>
  <c r="E54" i="11" l="1"/>
  <c r="D11" i="8" s="1"/>
  <c r="E42" i="11"/>
  <c r="E44" i="11" s="1"/>
  <c r="E12" i="4"/>
  <c r="D15" i="8"/>
  <c r="G64" i="11"/>
  <c r="H64" i="11" s="1"/>
  <c r="E63" i="11"/>
  <c r="G58" i="11"/>
  <c r="H58" i="11" s="1"/>
  <c r="E7" i="4"/>
  <c r="D7" i="8"/>
  <c r="G26" i="11"/>
  <c r="H26" i="11" s="1"/>
  <c r="E15" i="11"/>
  <c r="D6" i="8" s="1"/>
  <c r="G13" i="11"/>
  <c r="H13" i="11" s="1"/>
  <c r="E11" i="4" l="1"/>
  <c r="L20" i="4" s="1"/>
  <c r="P20" i="4" s="1"/>
  <c r="G54" i="11"/>
  <c r="H54" i="11" s="1"/>
  <c r="D10" i="8"/>
  <c r="D12" i="8" s="1"/>
  <c r="G42" i="11"/>
  <c r="H42" i="11" s="1"/>
  <c r="G6" i="8"/>
  <c r="E6" i="8"/>
  <c r="E28" i="11"/>
  <c r="G28" i="11" s="1"/>
  <c r="H28" i="11" s="1"/>
  <c r="E6" i="4"/>
  <c r="G15" i="11"/>
  <c r="H15" i="11" s="1"/>
  <c r="E65" i="11"/>
  <c r="G65" i="11" s="1"/>
  <c r="H65" i="11" s="1"/>
  <c r="E13" i="4"/>
  <c r="J40" i="4" s="1"/>
  <c r="D14" i="8"/>
  <c r="D16" i="8" s="1"/>
  <c r="G63" i="11"/>
  <c r="H63" i="11" s="1"/>
  <c r="E56" i="11"/>
  <c r="E10" i="4"/>
  <c r="G44" i="11"/>
  <c r="H44" i="11" s="1"/>
  <c r="G11" i="8"/>
  <c r="E11" i="8"/>
  <c r="D8" i="8"/>
  <c r="E7" i="8"/>
  <c r="G7" i="8"/>
  <c r="E15" i="8"/>
  <c r="G15" i="8"/>
  <c r="Q20" i="4"/>
  <c r="E10" i="8" l="1"/>
  <c r="G10" i="8"/>
  <c r="E8" i="8"/>
  <c r="G8" i="8"/>
  <c r="E14" i="8"/>
  <c r="G14" i="8"/>
  <c r="L7" i="4"/>
  <c r="E8" i="4"/>
  <c r="L11" i="4"/>
  <c r="L18" i="4"/>
  <c r="E14" i="4"/>
  <c r="L14" i="4"/>
  <c r="L8" i="4"/>
  <c r="L17" i="4"/>
  <c r="L40" i="4"/>
  <c r="M39" i="4" s="1"/>
  <c r="E13" i="15" s="1"/>
  <c r="L15" i="4"/>
  <c r="E67" i="11"/>
  <c r="G56" i="11"/>
  <c r="H56" i="11" s="1"/>
  <c r="D17" i="8"/>
  <c r="E16" i="8"/>
  <c r="G16" i="8"/>
  <c r="G12" i="8"/>
  <c r="E12" i="8"/>
  <c r="P15" i="4" l="1"/>
  <c r="Q15" i="4"/>
  <c r="M7" i="4"/>
  <c r="P8" i="4"/>
  <c r="Q8" i="4"/>
  <c r="M10" i="4"/>
  <c r="P11" i="4"/>
  <c r="Q11" i="4"/>
  <c r="E17" i="8"/>
  <c r="G17" i="8"/>
  <c r="P40" i="4"/>
  <c r="Q40" i="4"/>
  <c r="K39" i="4"/>
  <c r="M14" i="4"/>
  <c r="Q14" i="4"/>
  <c r="P14" i="4"/>
  <c r="J43" i="4"/>
  <c r="E15" i="4"/>
  <c r="L43" i="4"/>
  <c r="M42" i="4" s="1"/>
  <c r="E14" i="15" s="1"/>
  <c r="Q7" i="4"/>
  <c r="P7" i="4"/>
  <c r="E69" i="11"/>
  <c r="G67" i="11"/>
  <c r="H67" i="11" s="1"/>
  <c r="M17" i="4"/>
  <c r="Q17" i="4"/>
  <c r="P17" i="4"/>
  <c r="L21" i="4"/>
  <c r="Q18" i="4"/>
  <c r="P18" i="4"/>
  <c r="D19" i="8"/>
  <c r="E9" i="15" l="1"/>
  <c r="F9" i="15" s="1"/>
  <c r="O17" i="4"/>
  <c r="M20" i="4"/>
  <c r="P21" i="4"/>
  <c r="Q21" i="4"/>
  <c r="E5" i="15"/>
  <c r="F5" i="15" s="1"/>
  <c r="O7" i="4"/>
  <c r="E8" i="15"/>
  <c r="F8" i="15" s="1"/>
  <c r="O14" i="4"/>
  <c r="E6" i="15"/>
  <c r="F6" i="15" s="1"/>
  <c r="O10" i="4"/>
  <c r="P43" i="4"/>
  <c r="Q43" i="4"/>
  <c r="K42" i="4"/>
  <c r="D13" i="15"/>
  <c r="F13" i="15" s="1"/>
  <c r="O39" i="4"/>
  <c r="E10" i="15" l="1"/>
  <c r="F10" i="15" s="1"/>
  <c r="O20" i="4"/>
  <c r="O42" i="4"/>
  <c r="D14" i="15"/>
  <c r="F14" i="15" s="1"/>
  <c r="G36" i="13" l="1"/>
  <c r="H36" i="13" s="1"/>
  <c r="G38" i="13"/>
  <c r="H38" i="13" s="1"/>
  <c r="G23" i="13"/>
  <c r="H23" i="13" s="1"/>
  <c r="G22" i="13"/>
  <c r="H22" i="13" s="1"/>
  <c r="G21" i="13"/>
  <c r="H21" i="13" s="1"/>
  <c r="G20" i="13"/>
  <c r="H20" i="13" s="1"/>
  <c r="G9" i="13"/>
  <c r="H9" i="13" s="1"/>
  <c r="G11" i="13"/>
  <c r="H11" i="13" s="1"/>
  <c r="G13" i="13"/>
  <c r="H13" i="13" s="1"/>
  <c r="G14" i="13"/>
  <c r="H14" i="13" s="1"/>
  <c r="G15" i="13"/>
  <c r="H15" i="13" s="1"/>
  <c r="D49" i="13" l="1"/>
  <c r="G35" i="13"/>
  <c r="H35" i="13" s="1"/>
  <c r="D29" i="4" l="1"/>
  <c r="C5" i="17" s="1"/>
  <c r="E5" i="17" s="1"/>
  <c r="G49" i="13"/>
  <c r="H49" i="13" s="1"/>
  <c r="D16" i="13"/>
  <c r="G5" i="13"/>
  <c r="H5" i="13" s="1"/>
  <c r="D24" i="13" l="1"/>
  <c r="G16" i="13"/>
  <c r="H16" i="13" s="1"/>
  <c r="G5" i="17"/>
  <c r="D67" i="13" l="1"/>
  <c r="D28" i="4"/>
  <c r="G24" i="13"/>
  <c r="H24" i="13" s="1"/>
  <c r="D31" i="4" l="1"/>
  <c r="D33" i="4" s="1"/>
  <c r="C4" i="17"/>
  <c r="D70" i="13"/>
  <c r="G70" i="13" s="1"/>
  <c r="H70" i="13" s="1"/>
  <c r="D72" i="13"/>
  <c r="G67" i="13"/>
  <c r="H67" i="13" s="1"/>
  <c r="G4" i="17" l="1"/>
  <c r="E4" i="17"/>
  <c r="C7" i="17"/>
  <c r="E7" i="17" s="1"/>
  <c r="G72" i="13"/>
  <c r="H72" i="13" s="1"/>
  <c r="D74" i="13"/>
  <c r="C8" i="17"/>
  <c r="D34" i="4"/>
  <c r="C9" i="17" l="1"/>
  <c r="E8" i="17"/>
  <c r="G8" i="17"/>
  <c r="G7" i="17"/>
</calcChain>
</file>

<file path=xl/sharedStrings.xml><?xml version="1.0" encoding="utf-8"?>
<sst xmlns="http://schemas.openxmlformats.org/spreadsheetml/2006/main" count="658" uniqueCount="438">
  <si>
    <t xml:space="preserve">Results </t>
  </si>
  <si>
    <t>Income Statement (Th$)</t>
  </si>
  <si>
    <t xml:space="preserve">         Jun.22</t>
  </si>
  <si>
    <t xml:space="preserve">         Jun.21</t>
  </si>
  <si>
    <t xml:space="preserve">      % Var.</t>
  </si>
  <si>
    <t>2022 / 2021</t>
  </si>
  <si>
    <r>
      <t>2.</t>
    </r>
    <r>
      <rPr>
        <b/>
        <sz val="7"/>
        <color rgb="FF455369"/>
        <rFont val="Times New Roman"/>
        <family val="1"/>
      </rPr>
      <t xml:space="preserve">      </t>
    </r>
    <r>
      <rPr>
        <b/>
        <sz val="9"/>
        <color rgb="FF44546A"/>
        <rFont val="Calibri"/>
        <family val="2"/>
      </rPr>
      <t>Estado de Resultados (Miles de $)</t>
    </r>
  </si>
  <si>
    <t xml:space="preserve">               Jun. 22</t>
  </si>
  <si>
    <t xml:space="preserve">               Jun. 21</t>
  </si>
  <si>
    <t xml:space="preserve">        % Var.</t>
  </si>
  <si>
    <t xml:space="preserve">           2022 / 2021</t>
  </si>
  <si>
    <t>Ordinary Revenues</t>
  </si>
  <si>
    <t>Ingresos ordinarios</t>
  </si>
  <si>
    <t>Operational Costs and Expenses</t>
  </si>
  <si>
    <t>Costos y gastos de operación</t>
  </si>
  <si>
    <t>EBITDA</t>
  </si>
  <si>
    <t xml:space="preserve">Depreciation and Amortization </t>
  </si>
  <si>
    <t>Depreciación y amortización</t>
  </si>
  <si>
    <t>Income From Operations</t>
  </si>
  <si>
    <t>Resultado de explotación</t>
  </si>
  <si>
    <t>Other Earnings</t>
  </si>
  <si>
    <t>Otras ganancias (pérdidas)</t>
  </si>
  <si>
    <t>Pérdidas por deterioro de valor</t>
  </si>
  <si>
    <t>Resultado financiero*</t>
  </si>
  <si>
    <t>Financial Result*</t>
  </si>
  <si>
    <t>Gasto por impuestos</t>
  </si>
  <si>
    <t>Tax expense</t>
  </si>
  <si>
    <t>Interés minoritario</t>
  </si>
  <si>
    <t>Operaciones discontinuadas</t>
  </si>
  <si>
    <t>Utilidad neta</t>
  </si>
  <si>
    <t>Minority interest</t>
  </si>
  <si>
    <t>Net earnings</t>
  </si>
  <si>
    <t>Revenue Analysis</t>
  </si>
  <si>
    <t>Sales</t>
  </si>
  <si>
    <t>Participation</t>
  </si>
  <si>
    <t>Jun. 22</t>
  </si>
  <si>
    <t>Jun. 21</t>
  </si>
  <si>
    <t>Thousands $</t>
  </si>
  <si>
    <t>Ventas</t>
  </si>
  <si>
    <t>Participación</t>
  </si>
  <si>
    <t>Potable Water</t>
  </si>
  <si>
    <t>Miles $</t>
  </si>
  <si>
    <t>Wastewater</t>
  </si>
  <si>
    <t>Agua potable</t>
  </si>
  <si>
    <t>Other Regulated Income</t>
  </si>
  <si>
    <t>Aguas servidas</t>
  </si>
  <si>
    <t>Non-Regulated Income</t>
  </si>
  <si>
    <t>Otros ingresos sanitarios</t>
  </si>
  <si>
    <t>Total</t>
  </si>
  <si>
    <t>Ingresos no sanitarios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</si>
  <si>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</si>
  <si>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% Var.</t>
  </si>
  <si>
    <t>Difference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</si>
  <si>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 xml:space="preserve">3 </t>
    </r>
    <r>
      <rPr>
        <b/>
        <sz val="9"/>
        <color rgb="FF44546A"/>
        <rFont val="Calibri"/>
        <family val="2"/>
      </rPr>
      <t>devengados)</t>
    </r>
  </si>
  <si>
    <t xml:space="preserve">    Jun 22</t>
  </si>
  <si>
    <t xml:space="preserve">    Jun 21</t>
  </si>
  <si>
    <t>Diferencia</t>
  </si>
  <si>
    <t>Wastewater Collection</t>
  </si>
  <si>
    <t xml:space="preserve">Agua potable </t>
  </si>
  <si>
    <t>Wastewater Treatment and Disposal</t>
  </si>
  <si>
    <t>Recolección de aguas servidas</t>
  </si>
  <si>
    <t>Interconnections*</t>
  </si>
  <si>
    <t>Tratamiento y disposición de aguas servidas</t>
  </si>
  <si>
    <t>Interconexiones*</t>
  </si>
  <si>
    <t>Customers</t>
  </si>
  <si>
    <t>Clientes</t>
  </si>
  <si>
    <t>Recolección aguas servidas</t>
  </si>
  <si>
    <t>Non-Sanitation Services</t>
  </si>
  <si>
    <t>(Thousands of $)</t>
  </si>
  <si>
    <t>(Miles de $)</t>
  </si>
  <si>
    <t xml:space="preserve">           Jun. 22</t>
  </si>
  <si>
    <t xml:space="preserve">           Jun. 21</t>
  </si>
  <si>
    <t>EcoRiles S.A.</t>
  </si>
  <si>
    <t>Gestión y Servicios S.A.</t>
  </si>
  <si>
    <t xml:space="preserve">Análisis Ambientales S.A. </t>
  </si>
  <si>
    <t>Anam S.A.</t>
  </si>
  <si>
    <t>Hidrogística S.A.</t>
  </si>
  <si>
    <t>Aguas del Maipo S.A.</t>
  </si>
  <si>
    <t>Non-regulated non-sanitation products</t>
  </si>
  <si>
    <t>Total filiales</t>
  </si>
  <si>
    <t>Accumulated Results, Water Segment</t>
  </si>
  <si>
    <t>Estado de Resultados (Miles de $)</t>
  </si>
  <si>
    <t>2022 - 2021</t>
  </si>
  <si>
    <t>External Revenue</t>
  </si>
  <si>
    <t>Ingresos externos</t>
  </si>
  <si>
    <t>Revenues Segments</t>
  </si>
  <si>
    <t>Ingresos segmentos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</si>
  <si>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</si>
  <si>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</si>
  <si>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</si>
  <si>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</si>
  <si>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</si>
  <si>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</si>
  <si>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Accumulated Results, Non-Water Segment</t>
  </si>
  <si>
    <t>&lt;(200%)</t>
  </si>
  <si>
    <t>Net Earnings</t>
  </si>
  <si>
    <t>Resultados</t>
  </si>
  <si>
    <t>Estado de Resultados (M$)</t>
  </si>
  <si>
    <t>4T21</t>
  </si>
  <si>
    <t>4T20</t>
  </si>
  <si>
    <t>4T21 – 4T20</t>
  </si>
  <si>
    <t>Ingresos Ordinarios</t>
  </si>
  <si>
    <t>Costos y Gastos de Operación</t>
  </si>
  <si>
    <t>Depreciación y Amortización</t>
  </si>
  <si>
    <t>Resultado de Explotación</t>
  </si>
  <si>
    <t>Otras (Pérdidas) Ganancias</t>
  </si>
  <si>
    <t xml:space="preserve">Pérdidas por deterioro de valor </t>
  </si>
  <si>
    <t>Resultado Financiero*</t>
  </si>
  <si>
    <t>Utilidad Neta</t>
  </si>
  <si>
    <t>Results</t>
  </si>
  <si>
    <t>2Q22</t>
  </si>
  <si>
    <t>2Q21</t>
  </si>
  <si>
    <t>2Q22 – 2Q21</t>
  </si>
  <si>
    <t>Other (Losses) Earnings</t>
  </si>
  <si>
    <t xml:space="preserve">         Dec. 21</t>
  </si>
  <si>
    <t>ThCh$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</si>
  <si>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</si>
  <si>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</si>
  <si>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</si>
  <si>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</si>
  <si>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</si>
  <si>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</si>
  <si>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</si>
  <si>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</si>
  <si>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</si>
  <si>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</si>
  <si>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</si>
  <si>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</si>
  <si>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(ThCh$)</t>
  </si>
  <si>
    <t>Cerro Negro - Lo Mena Wells</t>
  </si>
  <si>
    <t>Renovation of wastewater networks</t>
  </si>
  <si>
    <t>Treatment of nitrates Mapocho-Trebal Biofactory</t>
  </si>
  <si>
    <t>Renewal of starters and meters</t>
  </si>
  <si>
    <t>Renovation of potable water networks</t>
  </si>
  <si>
    <t xml:space="preserve">Expansion and modernization of potable water treatment plant Padre Hurtado        </t>
  </si>
  <si>
    <t>Filter Renovation Vizcachitas - Tagle</t>
  </si>
  <si>
    <t>Financial Debt Th$</t>
  </si>
  <si>
    <t>Currency</t>
  </si>
  <si>
    <t> Total</t>
  </si>
  <si>
    <t>12 months</t>
  </si>
  <si>
    <t>1 to 3 years</t>
  </si>
  <si>
    <t>3 to 5 years</t>
  </si>
  <si>
    <t>More than 5 years</t>
  </si>
  <si>
    <t>Saldos contables</t>
  </si>
  <si>
    <t>Control</t>
  </si>
  <si>
    <t>AFRs</t>
  </si>
  <si>
    <t>$</t>
  </si>
  <si>
    <t>Bonds</t>
  </si>
  <si>
    <t>-</t>
  </si>
  <si>
    <t>Loans</t>
  </si>
  <si>
    <t>Forward</t>
  </si>
  <si>
    <t>USD</t>
  </si>
  <si>
    <t>Total other financial liabilities</t>
  </si>
  <si>
    <t>Leasing liabilities</t>
  </si>
  <si>
    <t>Total leasing liabilities</t>
  </si>
  <si>
    <t>Composición por instrumento</t>
  </si>
  <si>
    <t>Composición por tasas</t>
  </si>
  <si>
    <t>Fija</t>
  </si>
  <si>
    <t>Variable</t>
  </si>
  <si>
    <t>Préstamos</t>
  </si>
  <si>
    <t>Préstamos bancarios variable</t>
  </si>
  <si>
    <t>Préstamos bancarios fijo</t>
  </si>
  <si>
    <t>Bonos</t>
  </si>
  <si>
    <t>Aportes financieros reembolsables</t>
  </si>
  <si>
    <t>Pasivo por arrendamiento</t>
  </si>
  <si>
    <t xml:space="preserve">Total </t>
  </si>
  <si>
    <t>Aspectos financieros al 31-03-2022</t>
  </si>
  <si>
    <t>Bono</t>
  </si>
  <si>
    <t>AFR</t>
  </si>
  <si>
    <t>Préstamos bancarios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</si>
  <si>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</si>
  <si>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</si>
  <si>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</si>
  <si>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</si>
  <si>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</si>
  <si>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</si>
  <si>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</si>
  <si>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</si>
  <si>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times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</si>
  <si>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</si>
  <si>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</si>
  <si>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</si>
  <si>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</si>
  <si>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</si>
  <si>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</si>
  <si>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</si>
  <si>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</si>
  <si>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%</t>
  </si>
  <si>
    <t>Annualized asset profitability</t>
  </si>
  <si>
    <t>Annualized earnings per share</t>
  </si>
  <si>
    <t>Dividend yield (*)</t>
  </si>
  <si>
    <t>Reasoned Analysis</t>
  </si>
  <si>
    <t>Aguas Andinas Consolidated</t>
  </si>
  <si>
    <t xml:space="preserve"> </t>
  </si>
  <si>
    <t>BALANCE SHEET</t>
  </si>
  <si>
    <t>Jun-22</t>
  </si>
  <si>
    <t>Dec-21</t>
  </si>
  <si>
    <t>Dec-20</t>
  </si>
  <si>
    <t>FINANCIAL INDICATORS</t>
  </si>
  <si>
    <t>LIQUIDITY</t>
  </si>
  <si>
    <t>CURRENT ASSET</t>
  </si>
  <si>
    <t>CURRENT LIQUIDITY</t>
  </si>
  <si>
    <t>NON-CURRENT ASSET</t>
  </si>
  <si>
    <t>Current assets</t>
  </si>
  <si>
    <t>=</t>
  </si>
  <si>
    <t>TOTAL</t>
  </si>
  <si>
    <t>Current liabilities</t>
  </si>
  <si>
    <t>ACID RATIO</t>
  </si>
  <si>
    <t>CURRENT LIABILITIES</t>
  </si>
  <si>
    <t>Cash flow and cash balance</t>
  </si>
  <si>
    <t>NON-CURRENT LIABILITIES</t>
  </si>
  <si>
    <t>MINORITY INTEREST</t>
  </si>
  <si>
    <t>INDEBTEDNESS</t>
  </si>
  <si>
    <t>CONTROLLING INTEREST</t>
  </si>
  <si>
    <t>TOTAL INDEBTEDNESS</t>
  </si>
  <si>
    <t>Liabilities payable</t>
  </si>
  <si>
    <t>Total equity</t>
  </si>
  <si>
    <t>INCOME STATEMENT</t>
  </si>
  <si>
    <t>Jun-21</t>
  </si>
  <si>
    <t>SHORT-TERM DEBT</t>
  </si>
  <si>
    <t>Ordinary Income, Total</t>
  </si>
  <si>
    <t>Total debt</t>
  </si>
  <si>
    <t>Cost of sales</t>
  </si>
  <si>
    <t>LONG-TERM DEBT</t>
  </si>
  <si>
    <t>Income before taxes (including minority interest)</t>
  </si>
  <si>
    <t>Non-current liabilities</t>
  </si>
  <si>
    <t>FINANCIAL EXPENSES</t>
  </si>
  <si>
    <t>R.A.I.I.D.A.I.E.</t>
  </si>
  <si>
    <t>HEDGING OF FINANCIAL EXPENSES</t>
  </si>
  <si>
    <t>INCOME AFTER TAX</t>
  </si>
  <si>
    <t>Earnings before interest and taxes</t>
  </si>
  <si>
    <t>Income Tax</t>
  </si>
  <si>
    <t>Financial expenses</t>
  </si>
  <si>
    <t>Depreciation and amortization</t>
  </si>
  <si>
    <t>R.A.I.I.D.A.I.E</t>
  </si>
  <si>
    <t>Income</t>
  </si>
  <si>
    <t>CASH FLOW</t>
  </si>
  <si>
    <t>Taxes</t>
  </si>
  <si>
    <t>Cash flow of operating activities</t>
  </si>
  <si>
    <t>Interests (Financial expenses)</t>
  </si>
  <si>
    <t>Cash flow from investing activities</t>
  </si>
  <si>
    <t>Cash flow from financing activities</t>
  </si>
  <si>
    <t>Total net cash flow for the period</t>
  </si>
  <si>
    <t xml:space="preserve">Extraordinary items </t>
  </si>
  <si>
    <t>Beginning Cash Balance</t>
  </si>
  <si>
    <t>Ending Cash Balance</t>
  </si>
  <si>
    <t>CONTROLLING EQUITY</t>
  </si>
  <si>
    <t>31-06-2021</t>
  </si>
  <si>
    <t>Operating income</t>
  </si>
  <si>
    <t>TOTAL ASSET</t>
  </si>
  <si>
    <t xml:space="preserve">PROFITABILITY </t>
  </si>
  <si>
    <t>RETURN ON EQUITY</t>
  </si>
  <si>
    <t>Profit or loss for the year</t>
  </si>
  <si>
    <t>Average controlling equity</t>
  </si>
  <si>
    <t>Dividends: indicate last 12 months historical payout</t>
  </si>
  <si>
    <t>Mar-22 - Mar-21</t>
  </si>
  <si>
    <t>Dec 21 - Dec 20</t>
  </si>
  <si>
    <t>RETURN ON ASSETS</t>
  </si>
  <si>
    <t>Month of payment: Apr-22</t>
  </si>
  <si>
    <t>Total Assets (averages)</t>
  </si>
  <si>
    <t>Payment month: Nov 21</t>
  </si>
  <si>
    <t>EARNINGS PER SHARE</t>
  </si>
  <si>
    <t>Payment month: May 21</t>
  </si>
  <si>
    <t>Result</t>
  </si>
  <si>
    <t xml:space="preserve">No. of shares subscribed and paid </t>
  </si>
  <si>
    <t>DIVIDEND RETURN</t>
  </si>
  <si>
    <t>RESULT BY NATURE</t>
  </si>
  <si>
    <t xml:space="preserve">Dividends paid </t>
  </si>
  <si>
    <t xml:space="preserve">Income from ordinary activities, total </t>
  </si>
  <si>
    <t>Market share price</t>
  </si>
  <si>
    <t>Raw materials and consumables used</t>
  </si>
  <si>
    <t>Employee benefit expenses</t>
  </si>
  <si>
    <t>Depreciation and amortization expense</t>
  </si>
  <si>
    <t>Reversal of impairment losses (impairment losses) recognized in income (loss) for the period</t>
  </si>
  <si>
    <t>Other expenses</t>
  </si>
  <si>
    <t>Operating Income</t>
  </si>
  <si>
    <t>Financial Income</t>
  </si>
  <si>
    <t>Financial Costs</t>
  </si>
  <si>
    <t>Exchange Difference</t>
  </si>
  <si>
    <t>Result per readjustment units</t>
  </si>
  <si>
    <t>Financial Result</t>
  </si>
  <si>
    <t>Gains on sale of non-current assets</t>
  </si>
  <si>
    <t>Other Non-Operating Expenses</t>
  </si>
  <si>
    <t>Income before taxes</t>
  </si>
  <si>
    <t>Income Taxes</t>
  </si>
  <si>
    <t>Profit (loss) from discontinued operations</t>
  </si>
  <si>
    <t>PROFIT instrument holders</t>
  </si>
  <si>
    <t>Income for the year</t>
  </si>
  <si>
    <t>ASSETS</t>
  </si>
  <si>
    <t>Note</t>
  </si>
  <si>
    <t>Variation in</t>
  </si>
  <si>
    <t>CURRENT ASSETS</t>
  </si>
  <si>
    <t>Cash and cash equivalent</t>
  </si>
  <si>
    <t>Other financial assets</t>
  </si>
  <si>
    <t>Other non-financial assets</t>
  </si>
  <si>
    <t>Commercial debtors and other accounts receivable</t>
  </si>
  <si>
    <t>Accounts receivable from related entities</t>
  </si>
  <si>
    <t>Inventories</t>
  </si>
  <si>
    <t>Tax assets</t>
  </si>
  <si>
    <t>Total current assets other than the assets or groups of available assets classified as being retained for sale or being retained to be distributed among holders</t>
  </si>
  <si>
    <t>Non-current assets held for sale</t>
  </si>
  <si>
    <t>TOTAL CURRENT ASSETS</t>
  </si>
  <si>
    <t>NON-CURRENT ASSETS</t>
  </si>
  <si>
    <t xml:space="preserve">Receivables </t>
  </si>
  <si>
    <t>Inversiones contabilizadas utilizando el método de la partic</t>
  </si>
  <si>
    <t>Intangible assets other than goodwill</t>
  </si>
  <si>
    <t>Goodwill</t>
  </si>
  <si>
    <t>Properties, plant and equipment</t>
  </si>
  <si>
    <t>Usage rights assets</t>
  </si>
  <si>
    <t>Deferred tax assets</t>
  </si>
  <si>
    <t>TOTAL NON-CURRENT ASSETS</t>
  </si>
  <si>
    <t>TOTAL ASSETS</t>
  </si>
  <si>
    <t>EQUITY AND LIABILITIES</t>
  </si>
  <si>
    <t>Other financial liabilities</t>
  </si>
  <si>
    <t>Lease liability</t>
  </si>
  <si>
    <t>Trade debts and other accounts payable</t>
  </si>
  <si>
    <t>Accounts payable from related entities</t>
  </si>
  <si>
    <t>Other provisions</t>
  </si>
  <si>
    <t>Tax liabilities</t>
  </si>
  <si>
    <t>Provisions for employee benefits</t>
  </si>
  <si>
    <t>Other non-financial liabilities</t>
  </si>
  <si>
    <t>Total current liabilities other than liabilities included in groups of liabilities for disposal classified as held for sale</t>
  </si>
  <si>
    <t>Non-current liabilities held for sale</t>
  </si>
  <si>
    <t>TOTAL CURRENT LIABILITIES</t>
  </si>
  <si>
    <t>Other accounts payable</t>
  </si>
  <si>
    <t>Cuentas por pagar a entidades relacionadas</t>
  </si>
  <si>
    <t>Deferred tax liabilities</t>
  </si>
  <si>
    <t>Non-current provisions for employee benefits</t>
  </si>
  <si>
    <t>TOTAL NON-CURRENT LIABILITIES</t>
  </si>
  <si>
    <t>TOTAL LIABILITIES</t>
  </si>
  <si>
    <t>EQUITY</t>
  </si>
  <si>
    <t>Issued capital</t>
  </si>
  <si>
    <t>Accumulated earnings (losses)</t>
  </si>
  <si>
    <t>Share premium</t>
  </si>
  <si>
    <t>Other equity interests</t>
  </si>
  <si>
    <t>Other reserves</t>
  </si>
  <si>
    <t>Equity attributable to owners of the controller</t>
  </si>
  <si>
    <t>Non-controlling interests</t>
  </si>
  <si>
    <t xml:space="preserve">TOTAL EQUITY </t>
  </si>
  <si>
    <t>TOTAL EQUITY AND LIABILITIES</t>
  </si>
  <si>
    <t>Period</t>
  </si>
  <si>
    <t>Quarter</t>
  </si>
  <si>
    <t xml:space="preserve">INCOME STATEMENT BY NATURE </t>
  </si>
  <si>
    <t>Revenues for regular activities</t>
  </si>
  <si>
    <t>Used raw materials and expendables</t>
  </si>
  <si>
    <t>Expenses related to depreciation and amortization</t>
  </si>
  <si>
    <t>9-11</t>
  </si>
  <si>
    <t>Impairment losses</t>
  </si>
  <si>
    <t>Other expenses by nature</t>
  </si>
  <si>
    <t>Other (losses) earnings</t>
  </si>
  <si>
    <t xml:space="preserve">Earnings (losses) from operating activities </t>
  </si>
  <si>
    <t>Financial income</t>
  </si>
  <si>
    <t>Financial costs</t>
  </si>
  <si>
    <t>Earnings (losses) exchange differences</t>
  </si>
  <si>
    <t>Results of indexation adjustments</t>
  </si>
  <si>
    <t>Participación en las ganancias (pérdidas) de asociadas y negocion conjuntos</t>
  </si>
  <si>
    <t>Earnings before taxes</t>
  </si>
  <si>
    <t>Expenses for earning taxes</t>
  </si>
  <si>
    <t>Earnings from continuous operations</t>
  </si>
  <si>
    <t>Earnings</t>
  </si>
  <si>
    <t>Earnings due to</t>
  </si>
  <si>
    <t>Earnings attributable to owners of the controller</t>
  </si>
  <si>
    <t>Earnings (losses) attributable to non-controlling shares</t>
  </si>
  <si>
    <t>Earnings per share</t>
  </si>
  <si>
    <t>Earnings per basic shares in continuous operations ($)</t>
  </si>
  <si>
    <t>Earnings per basic shares</t>
  </si>
  <si>
    <t>Direct cash flow statement</t>
  </si>
  <si>
    <t>Collections from the sales of assets and services</t>
  </si>
  <si>
    <t>Cobros procedentes de regalías, cuotas, comisiones y otros ingresos de actividades ordinarias</t>
  </si>
  <si>
    <t>Cobros procedentes de contratos mantenidos con propósitos de intermediación o para negociar</t>
  </si>
  <si>
    <t>Proceeds from premiums and benefits, annuities and other underwritten policy benefits</t>
  </si>
  <si>
    <t>Other collections from operational activities</t>
  </si>
  <si>
    <t>Types of payments</t>
  </si>
  <si>
    <t>Payments to suppliers for goods and services</t>
  </si>
  <si>
    <t>Pagos procedentes de contratos mantenidos para intermediación o para negociar</t>
  </si>
  <si>
    <t>Payments to and on behalf of the employees</t>
  </si>
  <si>
    <t xml:space="preserve">Payments of premiums and services, annuities and other liabilities arising from contracted policies </t>
  </si>
  <si>
    <t>Other payments for operational activities</t>
  </si>
  <si>
    <t>Cash flow from (used in) operational activities</t>
  </si>
  <si>
    <t>Types of cash payments from operating activities</t>
  </si>
  <si>
    <t>Dividendos pagados</t>
  </si>
  <si>
    <t>Dividendos recibidos</t>
  </si>
  <si>
    <t>Interests paid</t>
  </si>
  <si>
    <t>Interest received</t>
  </si>
  <si>
    <t>Taxes on earnings paid (reimbursed)</t>
  </si>
  <si>
    <t>Other cash in-flow (out-flow)</t>
  </si>
  <si>
    <t>Cash flows from loss of control of subsidiaries or other businesses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</si>
  <si>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</si>
  <si>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</si>
  <si>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</si>
  <si>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</si>
  <si>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</si>
  <si>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</si>
  <si>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</si>
  <si>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Amounts from sales of property, plant and equipment</t>
  </si>
  <si>
    <t>Purchase of property, plant and equipment</t>
  </si>
  <si>
    <t>Importes procedentes de ventas de activos intangibles</t>
  </si>
  <si>
    <t>Purchase of intangible assets</t>
  </si>
  <si>
    <t>Recursos por ventas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</si>
  <si>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</si>
  <si>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</si>
  <si>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</si>
  <si>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</si>
  <si>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</si>
  <si>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</si>
  <si>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</si>
  <si>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Intereses recibidos</t>
  </si>
  <si>
    <t>Impuestos a las ganancias reembolsados (pagados)</t>
  </si>
  <si>
    <t>Cash flow from (used in) investment activities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</si>
  <si>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</si>
  <si>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</si>
  <si>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</si>
  <si>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</si>
  <si>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Amounts from long-term loans</t>
  </si>
  <si>
    <t>Importes procedentes de préstamos de corto plazo</t>
  </si>
  <si>
    <t>Amounts from loans, classified as financing activities</t>
  </si>
  <si>
    <t>Préstamos de entidades relacionadas</t>
  </si>
  <si>
    <t>Loans refund</t>
  </si>
  <si>
    <t>Pagos de pasivos por arrendamientos financieros</t>
  </si>
  <si>
    <t>Pagos de préstamos a entidades relacionadas</t>
  </si>
  <si>
    <t xml:space="preserve">Paid dividends </t>
  </si>
  <si>
    <t xml:space="preserve">IAM </t>
  </si>
  <si>
    <t>Interest paid</t>
  </si>
  <si>
    <t>Minoritarios</t>
  </si>
  <si>
    <t xml:space="preserve">Other cash in-flow (out-flow) </t>
  </si>
  <si>
    <t>Cash flows from (used in) financing activities</t>
  </si>
  <si>
    <t xml:space="preserve"> Incremento (disminución) en el efectivo y equivalentes al efectivo, antes del efecto de los cambios en la tasa de cambio </t>
  </si>
  <si>
    <t>Efectos de la variación en la tasa de cambio sobre el efectivo y equivalentes al efectivo</t>
  </si>
  <si>
    <t xml:space="preserve"> Net increase (decrease) in cash and cash equivalents</t>
  </si>
  <si>
    <t>Cash and equivalent cash at the beginning of the fiscal year</t>
  </si>
  <si>
    <t>Cash and equivalent cash at the end of the fiscal year</t>
  </si>
  <si>
    <t>Profit attributable to owners of controlling company</t>
  </si>
  <si>
    <t>Period 2021</t>
  </si>
  <si>
    <t>Acum Mar 2021</t>
  </si>
  <si>
    <t>Acum Mar 2022</t>
  </si>
  <si>
    <t>Period Mar 2021 - Mar 2022</t>
  </si>
  <si>
    <t>Acum Junio 2010</t>
  </si>
  <si>
    <t>https://www.bolsadesantiago.com/#/cierre_bursatil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</si>
</sst>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_-;\-* #,##0_-;_-* &quot;-&quot;??_-;_-@_-"/>
    <numFmt numFmtId="169" formatCode="#,##0;[Red]\(#,##0\)"/>
    <numFmt numFmtId="170" formatCode="##,##0.00;[Red]\(##,##0.00\)"/>
    <numFmt numFmtId="171" formatCode="#,##0.000;[Red]\(#,##0.000\)"/>
    <numFmt numFmtId="172" formatCode="#,##0.00;[Red]\(#,##0.00\)"/>
    <numFmt numFmtId="173" formatCode="#,##0.00;[Red]#,##0.00"/>
    <numFmt numFmtId="174" formatCode="#,##0.0;[Red]\(#,##0.0\)"/>
    <numFmt numFmtId="175" formatCode="_-* #,##0\ _P_t_s_-;\-* #,##0\ _P_t_s_-;_-* &quot;-&quot;??\ _P_t_s_-;_-@_-"/>
    <numFmt numFmtId="176" formatCode="_-* #,##0.000_-;\-* #,##0.000_-;_-* &quot;-&quot;??_-;_-@_-"/>
    <numFmt numFmtId="177" formatCode="_-* #,##0.000000_-;\-* #,##0.000000_-;_-* &quot;-&quot;??????_-;_-@_-"/>
    <numFmt numFmtId="178" formatCode="_-* #,##0.0000_-;\-* #,##0.0000_-;_-* &quot;-&quot;??_-;_-@_-"/>
    <numFmt numFmtId="179" formatCode="_-* #,##0.000\ _P_t_s_-;\-* #,##0.000\ _P_t_s_-;_-* &quot;-&quot;??\ _P_t_s_-;_-@_-"/>
    <numFmt numFmtId="180" formatCode="_-* #,##0.0000\ _P_t_s_-;\-* #,##0.0000\ _P_t_s_-;_-* &quot;-&quot;??\ _P_t_s_-;_-@_-"/>
    <numFmt numFmtId="181" formatCode="0.00000"/>
    <numFmt numFmtId="182" formatCode="0.0000"/>
    <numFmt numFmtId="183" formatCode="0.000"/>
    <numFmt numFmtId="184" formatCode="_-* #,##0.000_-;\-* #,##0.000_-;_-* &quot;-&quot;???_-;_-@_-"/>
    <numFmt numFmtId="185" formatCode="##,##0;\(##,##0\)"/>
    <numFmt numFmtId="186" formatCode="0.0000%"/>
    <numFmt numFmtId="187" formatCode="0.0%"/>
    <numFmt numFmtId="188" formatCode="#,##0;\(\ #,##0\)"/>
    <numFmt numFmtId="189" formatCode="#,##0;\(\ \ #,##0\)"/>
    <numFmt numFmtId="190" formatCode="dd\-mm\-yyyy"/>
    <numFmt numFmtId="191" formatCode="d\-m\-yyyy"/>
    <numFmt numFmtId="192" formatCode="_-* #,##0.00\ &quot;DM&quot;_-;\-* #,##0.00\ &quot;DM&quot;_-;_-* &quot;-&quot;??\ &quot;DM&quot;_-;_-@_-"/>
    <numFmt numFmtId="193" formatCode="_-* #,##0.00\ [$€]_-;\-* #,##0.00\ [$€]_-;_-* &quot;-&quot;??\ [$€]_-;_-@_-"/>
    <numFmt numFmtId="194" formatCode="_-* #,##0\ _D_M_-;\-* #,##0\ _D_M_-;_-* &quot;-&quot;\ _D_M_-;_-@_-"/>
    <numFmt numFmtId="195" formatCode="_-* #,##0.00\ _D_M_-;\-* #,##0.00\ _D_M_-;_-* &quot;-&quot;??\ _D_M_-;_-@_-"/>
    <numFmt numFmtId="196" formatCode="_-* #,##0\ &quot;DM&quot;_-;\-* #,##0\ &quot;DM&quot;_-;_-* &quot;-&quot;\ &quot;DM&quot;_-;_-@_-"/>
    <numFmt numFmtId="197" formatCode="_(* #,##0_);_(* \(#,##0\);_(* &quot;-&quot;??_);_(@_)"/>
    <numFmt numFmtId="198" formatCode="#,##0.000"/>
    <numFmt numFmtId="199" formatCode="#,##0_ ;\-#,##0\ "/>
    <numFmt numFmtId="200" formatCode="#,##0\ ;\(#,##0\);\-\ ;"/>
    <numFmt numFmtId="201" formatCode="0.0%_);\(0.0%\)"/>
    <numFmt numFmtId="202" formatCode="_-* #,##0.00_-;\-* #,##0.00_-;_-* &quot;-&quot;??_-;_-@_-"/>
    <numFmt numFmtId="203" formatCode="#,##0;\(#,##0\);\-"/>
    <numFmt numFmtId="204" formatCode="#,##0.000;\(#,##0.000\);\-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44546A"/>
      <name val="Calibri"/>
      <family val="2"/>
    </font>
    <font>
      <sz val="11"/>
      <name val="Calibri"/>
      <family val="2"/>
    </font>
    <font>
      <b/>
      <sz val="13"/>
      <color rgb="FF455369"/>
      <name val="Calibri"/>
      <family val="2"/>
    </font>
    <font>
      <b/>
      <sz val="7"/>
      <color rgb="FF455369"/>
      <name val="Times New Roman"/>
      <family val="1"/>
    </font>
    <font>
      <b/>
      <vertAlign val="superscript"/>
      <sz val="9"/>
      <color rgb="FF44546A"/>
      <name val="Calibri"/>
      <family val="2"/>
    </font>
    <font>
      <sz val="10"/>
      <color rgb="FF44546A"/>
      <name val="Calibri"/>
      <family val="2"/>
    </font>
    <font>
      <i/>
      <sz val="7"/>
      <color rgb="FF44546A"/>
      <name val="Calibri"/>
      <family val="2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/>
      <right/>
      <top/>
      <bottom style="medium">
        <color rgb="FF002060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rgb="FF969696"/>
      </left>
      <right/>
      <top style="thin">
        <color indexed="55"/>
      </top>
      <bottom style="thin">
        <color rgb="FF969696"/>
      </bottom>
      <diagonal/>
    </border>
    <border>
      <left style="medium">
        <color rgb="FF969696"/>
      </left>
      <right/>
      <top style="thin">
        <color rgb="FF969696"/>
      </top>
      <bottom style="thin">
        <color rgb="FF969696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medium">
        <color indexed="55"/>
      </bottom>
      <diagonal/>
    </border>
    <border>
      <left style="medium">
        <color rgb="FF969696"/>
      </left>
      <right style="thin">
        <color indexed="55"/>
      </right>
      <top style="medium">
        <color rgb="FF969696"/>
      </top>
      <bottom/>
      <diagonal/>
    </border>
    <border>
      <left style="medium">
        <color rgb="FF969696"/>
      </left>
      <right style="thin">
        <color indexed="55"/>
      </right>
      <top/>
      <bottom style="thin">
        <color indexed="55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 style="medium">
        <color rgb="FF808080"/>
      </left>
      <right/>
      <top style="thin">
        <color indexed="23"/>
      </top>
      <bottom style="thin">
        <color indexed="23"/>
      </bottom>
      <diagonal/>
    </border>
    <border>
      <left style="medium">
        <color rgb="FF80808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rgb="FF808080"/>
      </left>
      <right/>
      <top style="thin">
        <color indexed="23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 style="thin">
        <color indexed="23"/>
      </bottom>
      <diagonal/>
    </border>
  </borders>
  <cellStyleXfs count="178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34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3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6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43" fontId="3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" fillId="0" borderId="0" applyFont="0" applyFill="0" applyBorder="0" applyAlignment="0" applyProtection="0"/>
    <xf numFmtId="196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5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9" fillId="91" borderId="26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0" fontId="5" fillId="71" borderId="15"/>
    <xf numFmtId="0" fontId="5" fillId="71" borderId="15"/>
    <xf numFmtId="0" fontId="5" fillId="71" borderId="15"/>
    <xf numFmtId="0" fontId="5" fillId="71" borderId="15"/>
    <xf numFmtId="0" fontId="5" fillId="71" borderId="15"/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83" fillId="0" borderId="0"/>
    <xf numFmtId="202" fontId="2" fillId="0" borderId="0" applyFont="0" applyFill="0" applyBorder="0" applyAlignment="0" applyProtection="0"/>
    <xf numFmtId="164" fontId="83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96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0" borderId="11" applyNumberFormat="0" applyFont="0" applyAlignment="0" applyProtection="0"/>
    <xf numFmtId="0" fontId="3" fillId="40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0" fontId="3" fillId="15" borderId="12" applyNumberFormat="0" applyProtection="0">
      <alignment horizontal="left" vertical="center" indent="1"/>
    </xf>
    <xf numFmtId="0" fontId="3" fillId="15" borderId="12" applyNumberFormat="0" applyProtection="0">
      <alignment horizontal="left" vertical="center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8" borderId="12" applyNumberFormat="0" applyProtection="0">
      <alignment horizontal="left" vertical="center" indent="1"/>
    </xf>
    <xf numFmtId="0" fontId="3" fillId="8" borderId="12" applyNumberFormat="0" applyProtection="0">
      <alignment horizontal="left" vertical="center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12" borderId="12" applyNumberFormat="0" applyProtection="0">
      <alignment horizontal="left" vertical="center" indent="1"/>
    </xf>
    <xf numFmtId="0" fontId="3" fillId="12" borderId="12" applyNumberFormat="0" applyProtection="0">
      <alignment horizontal="left" vertical="center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65" borderId="12" applyNumberFormat="0" applyProtection="0">
      <alignment horizontal="left" vertical="center" indent="1"/>
    </xf>
    <xf numFmtId="0" fontId="3" fillId="65" borderId="12" applyNumberFormat="0" applyProtection="0">
      <alignment horizontal="left" vertical="center" indent="1"/>
    </xf>
    <xf numFmtId="0" fontId="3" fillId="65" borderId="12" applyNumberFormat="0" applyProtection="0">
      <alignment horizontal="left" vertical="top" indent="1"/>
    </xf>
    <xf numFmtId="0" fontId="3" fillId="65" borderId="12" applyNumberFormat="0" applyProtection="0">
      <alignment horizontal="left" vertical="top" indent="1"/>
    </xf>
    <xf numFmtId="0" fontId="3" fillId="11" borderId="15" applyNumberFormat="0">
      <protection locked="0"/>
    </xf>
    <xf numFmtId="0" fontId="3" fillId="11" borderId="15" applyNumberFormat="0">
      <protection locked="0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164" fontId="3" fillId="0" borderId="0" applyFont="0" applyFill="0" applyBorder="0" applyAlignment="0" applyProtection="0"/>
    <xf numFmtId="202" fontId="1" fillId="0" borderId="0" applyFont="0" applyFill="0" applyBorder="0" applyAlignment="0" applyProtection="0"/>
    <xf numFmtId="164" fontId="8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07">
    <xf numFmtId="0" fontId="0" fillId="0" borderId="0" xfId="0"/>
    <xf numFmtId="0" fontId="74" fillId="0" borderId="0" xfId="0" applyFont="1" applyAlignment="1">
      <alignment vertical="center"/>
    </xf>
    <xf numFmtId="3" fontId="70" fillId="0" borderId="0" xfId="0" applyNumberFormat="1" applyFont="1"/>
    <xf numFmtId="0" fontId="71" fillId="0" borderId="61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3" fillId="0" borderId="0" xfId="0" applyFont="1"/>
    <xf numFmtId="200" fontId="72" fillId="0" borderId="0" xfId="0" applyNumberFormat="1" applyFont="1" applyAlignment="1">
      <alignment horizontal="right" vertical="center"/>
    </xf>
    <xf numFmtId="201" fontId="72" fillId="0" borderId="0" xfId="0" applyNumberFormat="1" applyFont="1" applyAlignment="1">
      <alignment horizontal="right" vertical="center"/>
    </xf>
    <xf numFmtId="200" fontId="71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97" fontId="73" fillId="0" borderId="0" xfId="793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7" fillId="0" borderId="38" xfId="0" applyNumberFormat="1" applyFont="1" applyBorder="1" applyAlignment="1">
      <alignment horizontal="right" vertical="center"/>
    </xf>
    <xf numFmtId="0" fontId="72" fillId="0" borderId="0" xfId="0" applyFont="1" applyAlignment="1">
      <alignment horizontal="right" vertical="center"/>
    </xf>
    <xf numFmtId="0" fontId="75" fillId="0" borderId="0" xfId="0" applyFont="1" applyAlignment="1">
      <alignment horizontal="justify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200" fontId="79" fillId="0" borderId="0" xfId="0" applyNumberFormat="1" applyFont="1" applyAlignment="1">
      <alignment horizontal="right" vertical="center"/>
    </xf>
    <xf numFmtId="200" fontId="70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201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80" fillId="0" borderId="0" xfId="0" applyFont="1"/>
    <xf numFmtId="0" fontId="78" fillId="0" borderId="0" xfId="0" applyFont="1"/>
    <xf numFmtId="0" fontId="73" fillId="0" borderId="0" xfId="0" applyFont="1" applyAlignment="1">
      <alignment horizontal="left"/>
    </xf>
    <xf numFmtId="200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5" fillId="0" borderId="0" xfId="1658" applyFont="1" applyAlignment="1">
      <alignment horizontal="left" indent="2"/>
    </xf>
    <xf numFmtId="0" fontId="73" fillId="0" borderId="0" xfId="1658" applyFont="1"/>
    <xf numFmtId="0" fontId="73" fillId="0" borderId="0" xfId="1658" applyFont="1" applyAlignment="1">
      <alignment vertical="center"/>
    </xf>
    <xf numFmtId="3" fontId="73" fillId="0" borderId="0" xfId="1658" applyNumberFormat="1" applyFont="1" applyAlignment="1">
      <alignment vertical="center"/>
    </xf>
    <xf numFmtId="201" fontId="73" fillId="0" borderId="0" xfId="0" applyNumberFormat="1" applyFont="1"/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center" vertical="center"/>
    </xf>
    <xf numFmtId="3" fontId="72" fillId="0" borderId="0" xfId="0" applyNumberFormat="1" applyFont="1"/>
    <xf numFmtId="0" fontId="81" fillId="0" borderId="0" xfId="0" applyFont="1"/>
    <xf numFmtId="3" fontId="81" fillId="0" borderId="0" xfId="0" applyNumberFormat="1" applyFont="1"/>
    <xf numFmtId="187" fontId="71" fillId="0" borderId="0" xfId="913" applyNumberFormat="1" applyFont="1"/>
    <xf numFmtId="9" fontId="73" fillId="0" borderId="0" xfId="913" applyFont="1"/>
    <xf numFmtId="9" fontId="74" fillId="0" borderId="0" xfId="913" applyFont="1"/>
    <xf numFmtId="185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80" fillId="0" borderId="61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14" fontId="84" fillId="72" borderId="49" xfId="869" applyNumberFormat="1" applyFont="1" applyFill="1" applyBorder="1" applyAlignment="1">
      <alignment horizontal="center" vertical="center"/>
    </xf>
    <xf numFmtId="203" fontId="84" fillId="72" borderId="54" xfId="869" applyNumberFormat="1" applyFont="1" applyFill="1" applyBorder="1" applyAlignment="1">
      <alignment horizontal="center" vertical="top"/>
    </xf>
    <xf numFmtId="203" fontId="84" fillId="72" borderId="55" xfId="869" applyNumberFormat="1" applyFont="1" applyFill="1" applyBorder="1" applyAlignment="1">
      <alignment horizontal="center" vertical="top"/>
    </xf>
    <xf numFmtId="203" fontId="85" fillId="0" borderId="1" xfId="869" quotePrefix="1" applyNumberFormat="1" applyFont="1" applyBorder="1" applyAlignment="1">
      <alignment horizontal="center" vertical="center"/>
    </xf>
    <xf numFmtId="203" fontId="85" fillId="0" borderId="1" xfId="869" applyNumberFormat="1" applyFont="1" applyBorder="1" applyAlignment="1">
      <alignment vertical="center"/>
    </xf>
    <xf numFmtId="203" fontId="85" fillId="0" borderId="45" xfId="869" applyNumberFormat="1" applyFont="1" applyBorder="1" applyAlignment="1">
      <alignment vertical="center"/>
    </xf>
    <xf numFmtId="203" fontId="85" fillId="0" borderId="1" xfId="869" applyNumberFormat="1" applyFont="1" applyBorder="1" applyAlignment="1">
      <alignment horizontal="center" vertical="center"/>
    </xf>
    <xf numFmtId="203" fontId="84" fillId="0" borderId="1" xfId="869" applyNumberFormat="1" applyFont="1" applyBorder="1" applyAlignment="1">
      <alignment horizontal="center" vertical="center"/>
    </xf>
    <xf numFmtId="203" fontId="84" fillId="0" borderId="1" xfId="869" applyNumberFormat="1" applyFont="1" applyBorder="1" applyAlignment="1">
      <alignment horizontal="left" vertical="center" indent="2"/>
    </xf>
    <xf numFmtId="203" fontId="84" fillId="72" borderId="1" xfId="869" applyNumberFormat="1" applyFont="1" applyFill="1" applyBorder="1" applyAlignment="1">
      <alignment horizontal="left" vertical="center" indent="3"/>
    </xf>
    <xf numFmtId="203" fontId="85" fillId="72" borderId="1" xfId="869" applyNumberFormat="1" applyFont="1" applyFill="1" applyBorder="1" applyAlignment="1">
      <alignment horizontal="center" vertical="center"/>
    </xf>
    <xf numFmtId="14" fontId="84" fillId="95" borderId="57" xfId="860" applyNumberFormat="1" applyFont="1" applyFill="1" applyBorder="1" applyAlignment="1">
      <alignment horizontal="center" vertical="center" wrapText="1"/>
    </xf>
    <xf numFmtId="14" fontId="84" fillId="95" borderId="50" xfId="860" applyNumberFormat="1" applyFont="1" applyFill="1" applyBorder="1" applyAlignment="1">
      <alignment horizontal="center" vertical="center" wrapText="1"/>
    </xf>
    <xf numFmtId="203" fontId="84" fillId="72" borderId="62" xfId="869" applyNumberFormat="1" applyFont="1" applyFill="1" applyBorder="1" applyAlignment="1">
      <alignment horizontal="center" vertical="top"/>
    </xf>
    <xf numFmtId="203" fontId="85" fillId="0" borderId="56" xfId="869" applyNumberFormat="1" applyFont="1" applyBorder="1" applyAlignment="1">
      <alignment vertical="center"/>
    </xf>
    <xf numFmtId="3" fontId="85" fillId="0" borderId="1" xfId="869" applyNumberFormat="1" applyFont="1" applyBorder="1" applyAlignment="1">
      <alignment vertical="center"/>
    </xf>
    <xf numFmtId="0" fontId="84" fillId="72" borderId="1" xfId="869" applyFont="1" applyFill="1" applyBorder="1" applyAlignment="1">
      <alignment horizontal="center" vertical="center"/>
    </xf>
    <xf numFmtId="3" fontId="84" fillId="72" borderId="1" xfId="869" applyNumberFormat="1" applyFont="1" applyFill="1" applyBorder="1" applyAlignment="1">
      <alignment vertical="center"/>
    </xf>
    <xf numFmtId="3" fontId="84" fillId="72" borderId="56" xfId="869" applyNumberFormat="1" applyFont="1" applyFill="1" applyBorder="1" applyAlignment="1">
      <alignment vertical="center"/>
    </xf>
    <xf numFmtId="3" fontId="84" fillId="72" borderId="45" xfId="869" applyNumberFormat="1" applyFont="1" applyFill="1" applyBorder="1" applyAlignment="1">
      <alignment vertical="center"/>
    </xf>
    <xf numFmtId="0" fontId="84" fillId="72" borderId="1" xfId="869" applyFont="1" applyFill="1" applyBorder="1" applyAlignment="1">
      <alignment horizontal="left" vertical="center" indent="3"/>
    </xf>
    <xf numFmtId="0" fontId="85" fillId="0" borderId="1" xfId="869" applyFont="1" applyBorder="1" applyAlignment="1">
      <alignment horizontal="center" vertical="center"/>
    </xf>
    <xf numFmtId="3" fontId="85" fillId="0" borderId="45" xfId="869" applyNumberFormat="1" applyFont="1" applyBorder="1" applyAlignment="1">
      <alignment vertical="center"/>
    </xf>
    <xf numFmtId="0" fontId="85" fillId="0" borderId="1" xfId="869" applyFont="1" applyBorder="1" applyAlignment="1">
      <alignment horizontal="left" vertical="center" indent="3"/>
    </xf>
    <xf numFmtId="3" fontId="85" fillId="0" borderId="1" xfId="869" applyNumberFormat="1" applyFont="1" applyBorder="1" applyAlignment="1">
      <alignment horizontal="center" vertical="center"/>
    </xf>
    <xf numFmtId="3" fontId="85" fillId="0" borderId="56" xfId="869" applyNumberFormat="1" applyFont="1" applyBorder="1" applyAlignment="1">
      <alignment horizontal="center" vertical="center"/>
    </xf>
    <xf numFmtId="3" fontId="84" fillId="97" borderId="1" xfId="869" applyNumberFormat="1" applyFont="1" applyFill="1" applyBorder="1" applyAlignment="1">
      <alignment vertical="center"/>
    </xf>
    <xf numFmtId="0" fontId="84" fillId="97" borderId="1" xfId="869" applyFont="1" applyFill="1" applyBorder="1" applyAlignment="1">
      <alignment horizontal="left" vertical="center" indent="3"/>
    </xf>
    <xf numFmtId="3" fontId="84" fillId="97" borderId="56" xfId="869" applyNumberFormat="1" applyFont="1" applyFill="1" applyBorder="1" applyAlignment="1">
      <alignment vertical="center"/>
    </xf>
    <xf numFmtId="3" fontId="84" fillId="97" borderId="45" xfId="869" applyNumberFormat="1" applyFont="1" applyFill="1" applyBorder="1" applyAlignment="1">
      <alignment vertical="center"/>
    </xf>
    <xf numFmtId="3" fontId="85" fillId="0" borderId="0" xfId="869" applyNumberFormat="1" applyFont="1"/>
    <xf numFmtId="0" fontId="85" fillId="0" borderId="0" xfId="869" applyFont="1"/>
    <xf numFmtId="0" fontId="85" fillId="72" borderId="46" xfId="869" applyFont="1" applyFill="1" applyBorder="1" applyAlignment="1">
      <alignment horizontal="center" vertical="center"/>
    </xf>
    <xf numFmtId="198" fontId="84" fillId="72" borderId="46" xfId="869" applyNumberFormat="1" applyFont="1" applyFill="1" applyBorder="1" applyAlignment="1">
      <alignment vertical="center"/>
    </xf>
    <xf numFmtId="198" fontId="84" fillId="72" borderId="60" xfId="869" applyNumberFormat="1" applyFont="1" applyFill="1" applyBorder="1" applyAlignment="1">
      <alignment vertical="center"/>
    </xf>
    <xf numFmtId="198" fontId="84" fillId="72" borderId="47" xfId="869" applyNumberFormat="1" applyFont="1" applyFill="1" applyBorder="1" applyAlignment="1">
      <alignment vertical="center"/>
    </xf>
    <xf numFmtId="203" fontId="85" fillId="0" borderId="41" xfId="0" applyNumberFormat="1" applyFont="1" applyBorder="1" applyAlignment="1">
      <alignment horizontal="center" vertical="center" wrapText="1"/>
    </xf>
    <xf numFmtId="203" fontId="84" fillId="0" borderId="41" xfId="0" applyNumberFormat="1" applyFont="1" applyBorder="1" applyAlignment="1">
      <alignment horizontal="center" vertical="center" wrapText="1"/>
    </xf>
    <xf numFmtId="0" fontId="85" fillId="0" borderId="0" xfId="868" applyFont="1"/>
    <xf numFmtId="0" fontId="85" fillId="0" borderId="0" xfId="0" applyFont="1"/>
    <xf numFmtId="0" fontId="85" fillId="0" borderId="41" xfId="0" applyFont="1" applyBorder="1" applyAlignment="1">
      <alignment horizontal="center" vertical="center" wrapText="1"/>
    </xf>
    <xf numFmtId="3" fontId="85" fillId="0" borderId="0" xfId="0" applyNumberFormat="1" applyFont="1" applyAlignment="1">
      <alignment wrapText="1"/>
    </xf>
    <xf numFmtId="0" fontId="85" fillId="0" borderId="0" xfId="0" applyFont="1" applyAlignment="1">
      <alignment wrapText="1"/>
    </xf>
    <xf numFmtId="0" fontId="85" fillId="95" borderId="41" xfId="0" applyFont="1" applyFill="1" applyBorder="1" applyAlignment="1">
      <alignment horizontal="center" vertical="center" wrapText="1"/>
    </xf>
    <xf numFmtId="0" fontId="84" fillId="95" borderId="41" xfId="0" applyFont="1" applyFill="1" applyBorder="1" applyAlignment="1">
      <alignment horizontal="center" vertical="center" wrapText="1"/>
    </xf>
    <xf numFmtId="3" fontId="69" fillId="0" borderId="0" xfId="0" applyNumberFormat="1" applyFont="1" applyAlignment="1">
      <alignment wrapText="1"/>
    </xf>
    <xf numFmtId="0" fontId="84" fillId="95" borderId="48" xfId="0" applyFont="1" applyFill="1" applyBorder="1" applyAlignment="1">
      <alignment horizontal="center" vertical="center" wrapText="1"/>
    </xf>
    <xf numFmtId="0" fontId="85" fillId="0" borderId="0" xfId="868" applyFont="1" applyAlignment="1">
      <alignment horizontal="center"/>
    </xf>
    <xf numFmtId="0" fontId="84" fillId="0" borderId="0" xfId="869" applyFont="1"/>
    <xf numFmtId="3" fontId="85" fillId="0" borderId="0" xfId="868" applyNumberFormat="1" applyFont="1"/>
    <xf numFmtId="190" fontId="84" fillId="0" borderId="0" xfId="869" applyNumberFormat="1" applyFont="1" applyAlignment="1">
      <alignment horizontal="center" vertical="center"/>
    </xf>
    <xf numFmtId="191" fontId="84" fillId="0" borderId="0" xfId="869" applyNumberFormat="1" applyFont="1" applyAlignment="1">
      <alignment horizontal="center" vertical="top"/>
    </xf>
    <xf numFmtId="0" fontId="85" fillId="0" borderId="0" xfId="869" applyFont="1" applyAlignment="1">
      <alignment vertical="center"/>
    </xf>
    <xf numFmtId="3" fontId="85" fillId="0" borderId="0" xfId="869" applyNumberFormat="1" applyFont="1" applyAlignment="1">
      <alignment vertical="center"/>
    </xf>
    <xf numFmtId="3" fontId="84" fillId="0" borderId="0" xfId="869" applyNumberFormat="1" applyFont="1" applyAlignment="1">
      <alignment vertical="center"/>
    </xf>
    <xf numFmtId="0" fontId="88" fillId="0" borderId="0" xfId="869" applyFont="1"/>
    <xf numFmtId="3" fontId="84" fillId="0" borderId="0" xfId="869" applyNumberFormat="1" applyFont="1" applyAlignment="1">
      <alignment horizontal="right" vertical="center"/>
    </xf>
    <xf numFmtId="3" fontId="85" fillId="0" borderId="0" xfId="0" applyNumberFormat="1" applyFont="1" applyAlignment="1">
      <alignment vertical="center"/>
    </xf>
    <xf numFmtId="0" fontId="89" fillId="0" borderId="0" xfId="0" applyFont="1"/>
    <xf numFmtId="0" fontId="90" fillId="0" borderId="0" xfId="0" applyFont="1"/>
    <xf numFmtId="0" fontId="91" fillId="0" borderId="0" xfId="0" applyFont="1"/>
    <xf numFmtId="183" fontId="90" fillId="0" borderId="0" xfId="0" applyNumberFormat="1" applyFont="1"/>
    <xf numFmtId="177" fontId="90" fillId="0" borderId="0" xfId="0" applyNumberFormat="1" applyFont="1"/>
    <xf numFmtId="169" fontId="90" fillId="0" borderId="0" xfId="0" applyNumberFormat="1" applyFont="1"/>
    <xf numFmtId="168" fontId="90" fillId="0" borderId="0" xfId="801" quotePrefix="1" applyNumberFormat="1" applyFont="1" applyBorder="1" applyAlignment="1">
      <alignment horizontal="center"/>
    </xf>
    <xf numFmtId="0" fontId="92" fillId="92" borderId="27" xfId="0" applyFont="1" applyFill="1" applyBorder="1"/>
    <xf numFmtId="0" fontId="93" fillId="92" borderId="28" xfId="0" applyFont="1" applyFill="1" applyBorder="1"/>
    <xf numFmtId="49" fontId="92" fillId="92" borderId="28" xfId="801" applyNumberFormat="1" applyFont="1" applyFill="1" applyBorder="1" applyAlignment="1">
      <alignment horizontal="center"/>
    </xf>
    <xf numFmtId="168" fontId="89" fillId="0" borderId="0" xfId="801" quotePrefix="1" applyNumberFormat="1" applyFont="1" applyFill="1" applyAlignment="1">
      <alignment horizontal="center"/>
    </xf>
    <xf numFmtId="168" fontId="89" fillId="0" borderId="0" xfId="801" quotePrefix="1" applyNumberFormat="1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14" fontId="90" fillId="0" borderId="0" xfId="0" applyNumberFormat="1" applyFont="1" applyAlignment="1">
      <alignment horizontal="center"/>
    </xf>
    <xf numFmtId="0" fontId="89" fillId="0" borderId="30" xfId="0" applyFont="1" applyBorder="1"/>
    <xf numFmtId="0" fontId="90" fillId="0" borderId="31" xfId="0" applyFont="1" applyBorder="1"/>
    <xf numFmtId="0" fontId="90" fillId="0" borderId="58" xfId="0" applyFont="1" applyBorder="1"/>
    <xf numFmtId="0" fontId="90" fillId="0" borderId="32" xfId="0" applyFont="1" applyBorder="1"/>
    <xf numFmtId="0" fontId="89" fillId="0" borderId="24" xfId="0" applyFont="1" applyBorder="1"/>
    <xf numFmtId="182" fontId="91" fillId="0" borderId="0" xfId="0" applyNumberFormat="1" applyFont="1"/>
    <xf numFmtId="0" fontId="90" fillId="0" borderId="30" xfId="0" applyFont="1" applyBorder="1"/>
    <xf numFmtId="0" fontId="90" fillId="0" borderId="31" xfId="0" applyFont="1" applyBorder="1" applyAlignment="1">
      <alignment horizontal="center"/>
    </xf>
    <xf numFmtId="168" fontId="90" fillId="0" borderId="31" xfId="801" applyNumberFormat="1" applyFont="1" applyBorder="1"/>
    <xf numFmtId="168" fontId="90" fillId="0" borderId="58" xfId="801" applyNumberFormat="1" applyFont="1" applyBorder="1"/>
    <xf numFmtId="168" fontId="90" fillId="0" borderId="32" xfId="801" applyNumberFormat="1" applyFont="1" applyBorder="1"/>
    <xf numFmtId="178" fontId="90" fillId="0" borderId="0" xfId="801" applyNumberFormat="1" applyFont="1"/>
    <xf numFmtId="0" fontId="90" fillId="0" borderId="25" xfId="0" applyFont="1" applyBorder="1"/>
    <xf numFmtId="169" fontId="90" fillId="0" borderId="25" xfId="0" applyNumberFormat="1" applyFont="1" applyBorder="1"/>
    <xf numFmtId="2" fontId="94" fillId="0" borderId="0" xfId="0" applyNumberFormat="1" applyFont="1"/>
    <xf numFmtId="2" fontId="89" fillId="0" borderId="0" xfId="0" applyNumberFormat="1" applyFont="1"/>
    <xf numFmtId="187" fontId="90" fillId="0" borderId="0" xfId="913" applyNumberFormat="1" applyFont="1"/>
    <xf numFmtId="187" fontId="91" fillId="0" borderId="0" xfId="913" applyNumberFormat="1" applyFont="1" applyFill="1" applyBorder="1"/>
    <xf numFmtId="0" fontId="92" fillId="92" borderId="30" xfId="0" applyFont="1" applyFill="1" applyBorder="1"/>
    <xf numFmtId="0" fontId="93" fillId="92" borderId="31" xfId="0" applyFont="1" applyFill="1" applyBorder="1"/>
    <xf numFmtId="168" fontId="92" fillId="92" borderId="31" xfId="801" applyNumberFormat="1" applyFont="1" applyFill="1" applyBorder="1"/>
    <xf numFmtId="168" fontId="92" fillId="92" borderId="58" xfId="801" applyNumberFormat="1" applyFont="1" applyFill="1" applyBorder="1"/>
    <xf numFmtId="168" fontId="92" fillId="92" borderId="32" xfId="801" applyNumberFormat="1" applyFont="1" applyFill="1" applyBorder="1"/>
    <xf numFmtId="168" fontId="90" fillId="0" borderId="0" xfId="801" applyNumberFormat="1" applyFont="1"/>
    <xf numFmtId="168" fontId="89" fillId="0" borderId="0" xfId="801" applyNumberFormat="1" applyFont="1"/>
    <xf numFmtId="2" fontId="90" fillId="0" borderId="0" xfId="0" applyNumberFormat="1" applyFont="1"/>
    <xf numFmtId="0" fontId="92" fillId="92" borderId="33" xfId="0" applyFont="1" applyFill="1" applyBorder="1"/>
    <xf numFmtId="0" fontId="93" fillId="92" borderId="34" xfId="0" applyFont="1" applyFill="1" applyBorder="1"/>
    <xf numFmtId="168" fontId="92" fillId="92" borderId="34" xfId="801" applyNumberFormat="1" applyFont="1" applyFill="1" applyBorder="1"/>
    <xf numFmtId="168" fontId="92" fillId="92" borderId="59" xfId="801" applyNumberFormat="1" applyFont="1" applyFill="1" applyBorder="1"/>
    <xf numFmtId="168" fontId="92" fillId="92" borderId="35" xfId="801" applyNumberFormat="1" applyFont="1" applyFill="1" applyBorder="1"/>
    <xf numFmtId="2" fontId="94" fillId="0" borderId="0" xfId="913" applyNumberFormat="1" applyFont="1" applyFill="1"/>
    <xf numFmtId="10" fontId="89" fillId="0" borderId="0" xfId="0" applyNumberFormat="1" applyFont="1"/>
    <xf numFmtId="0" fontId="90" fillId="0" borderId="36" xfId="0" applyFont="1" applyBorder="1"/>
    <xf numFmtId="199" fontId="70" fillId="0" borderId="0" xfId="801" applyNumberFormat="1" applyFont="1" applyBorder="1"/>
    <xf numFmtId="49" fontId="92" fillId="92" borderId="28" xfId="801" quotePrefix="1" applyNumberFormat="1" applyFont="1" applyFill="1" applyBorder="1" applyAlignment="1">
      <alignment horizontal="center"/>
    </xf>
    <xf numFmtId="49" fontId="92" fillId="92" borderId="29" xfId="801" applyNumberFormat="1" applyFont="1" applyFill="1" applyBorder="1" applyAlignment="1">
      <alignment horizontal="center"/>
    </xf>
    <xf numFmtId="0" fontId="89" fillId="0" borderId="31" xfId="0" applyFont="1" applyBorder="1" applyAlignment="1">
      <alignment horizontal="center"/>
    </xf>
    <xf numFmtId="185" fontId="90" fillId="0" borderId="31" xfId="801" applyNumberFormat="1" applyFont="1" applyFill="1" applyBorder="1"/>
    <xf numFmtId="185" fontId="90" fillId="0" borderId="32" xfId="801" applyNumberFormat="1" applyFont="1" applyFill="1" applyBorder="1"/>
    <xf numFmtId="0" fontId="95" fillId="0" borderId="0" xfId="0" applyFont="1"/>
    <xf numFmtId="168" fontId="91" fillId="0" borderId="0" xfId="0" applyNumberFormat="1" applyFont="1"/>
    <xf numFmtId="185" fontId="89" fillId="0" borderId="31" xfId="801" applyNumberFormat="1" applyFont="1" applyFill="1" applyBorder="1"/>
    <xf numFmtId="185" fontId="89" fillId="0" borderId="32" xfId="801" applyNumberFormat="1" applyFont="1" applyFill="1" applyBorder="1"/>
    <xf numFmtId="175" fontId="91" fillId="0" borderId="0" xfId="801" applyNumberFormat="1" applyFont="1" applyFill="1" applyBorder="1"/>
    <xf numFmtId="170" fontId="89" fillId="0" borderId="0" xfId="0" applyNumberFormat="1" applyFont="1"/>
    <xf numFmtId="172" fontId="90" fillId="0" borderId="0" xfId="0" applyNumberFormat="1" applyFont="1"/>
    <xf numFmtId="187" fontId="90" fillId="0" borderId="0" xfId="913" applyNumberFormat="1" applyFont="1" applyFill="1" applyBorder="1"/>
    <xf numFmtId="0" fontId="90" fillId="0" borderId="33" xfId="0" applyFont="1" applyBorder="1"/>
    <xf numFmtId="0" fontId="90" fillId="0" borderId="34" xfId="0" applyFont="1" applyBorder="1" applyAlignment="1">
      <alignment horizontal="center"/>
    </xf>
    <xf numFmtId="185" fontId="90" fillId="0" borderId="34" xfId="801" applyNumberFormat="1" applyFont="1" applyFill="1" applyBorder="1"/>
    <xf numFmtId="185" fontId="90" fillId="0" borderId="42" xfId="801" applyNumberFormat="1" applyFont="1" applyFill="1" applyBorder="1"/>
    <xf numFmtId="0" fontId="96" fillId="0" borderId="24" xfId="0" applyFont="1" applyBorder="1"/>
    <xf numFmtId="0" fontId="97" fillId="0" borderId="0" xfId="0" applyFont="1"/>
    <xf numFmtId="169" fontId="97" fillId="0" borderId="0" xfId="0" applyNumberFormat="1" applyFont="1"/>
    <xf numFmtId="168" fontId="97" fillId="0" borderId="0" xfId="801" applyNumberFormat="1" applyFont="1"/>
    <xf numFmtId="185" fontId="90" fillId="0" borderId="0" xfId="801" applyNumberFormat="1" applyFont="1" applyBorder="1"/>
    <xf numFmtId="187" fontId="90" fillId="0" borderId="0" xfId="913" applyNumberFormat="1" applyFont="1" applyBorder="1"/>
    <xf numFmtId="188" fontId="97" fillId="0" borderId="0" xfId="0" applyNumberFormat="1" applyFont="1"/>
    <xf numFmtId="175" fontId="90" fillId="0" borderId="0" xfId="801" applyNumberFormat="1" applyFont="1"/>
    <xf numFmtId="168" fontId="92" fillId="92" borderId="28" xfId="801" quotePrefix="1" applyNumberFormat="1" applyFont="1" applyFill="1" applyBorder="1" applyAlignment="1">
      <alignment horizontal="center"/>
    </xf>
    <xf numFmtId="168" fontId="92" fillId="92" borderId="29" xfId="801" quotePrefix="1" applyNumberFormat="1" applyFont="1" applyFill="1" applyBorder="1" applyAlignment="1">
      <alignment horizontal="center"/>
    </xf>
    <xf numFmtId="185" fontId="90" fillId="0" borderId="31" xfId="801" applyNumberFormat="1" applyFont="1" applyBorder="1"/>
    <xf numFmtId="185" fontId="90" fillId="0" borderId="32" xfId="801" applyNumberFormat="1" applyFont="1" applyBorder="1"/>
    <xf numFmtId="181" fontId="90" fillId="0" borderId="0" xfId="0" applyNumberFormat="1" applyFont="1"/>
    <xf numFmtId="186" fontId="90" fillId="0" borderId="0" xfId="913" applyNumberFormat="1" applyFont="1"/>
    <xf numFmtId="173" fontId="89" fillId="0" borderId="0" xfId="0" applyNumberFormat="1" applyFont="1"/>
    <xf numFmtId="185" fontId="89" fillId="0" borderId="31" xfId="801" applyNumberFormat="1" applyFont="1" applyBorder="1"/>
    <xf numFmtId="185" fontId="89" fillId="0" borderId="32" xfId="801" applyNumberFormat="1" applyFont="1" applyBorder="1"/>
    <xf numFmtId="0" fontId="96" fillId="0" borderId="0" xfId="0" applyFont="1"/>
    <xf numFmtId="169" fontId="96" fillId="0" borderId="0" xfId="0" applyNumberFormat="1" applyFont="1"/>
    <xf numFmtId="2" fontId="97" fillId="0" borderId="0" xfId="0" applyNumberFormat="1" applyFont="1"/>
    <xf numFmtId="10" fontId="97" fillId="0" borderId="0" xfId="913" applyNumberFormat="1" applyFont="1"/>
    <xf numFmtId="0" fontId="93" fillId="92" borderId="34" xfId="0" applyFont="1" applyFill="1" applyBorder="1" applyAlignment="1">
      <alignment horizontal="center"/>
    </xf>
    <xf numFmtId="185" fontId="92" fillId="92" borderId="34" xfId="801" applyNumberFormat="1" applyFont="1" applyFill="1" applyBorder="1"/>
    <xf numFmtId="185" fontId="92" fillId="92" borderId="35" xfId="801" applyNumberFormat="1" applyFont="1" applyFill="1" applyBorder="1"/>
    <xf numFmtId="172" fontId="89" fillId="0" borderId="0" xfId="0" applyNumberFormat="1" applyFont="1"/>
    <xf numFmtId="2" fontId="97" fillId="0" borderId="0" xfId="913" applyNumberFormat="1" applyFont="1" applyFill="1"/>
    <xf numFmtId="10" fontId="97" fillId="0" borderId="0" xfId="913" applyNumberFormat="1" applyFont="1" applyFill="1" applyBorder="1"/>
    <xf numFmtId="0" fontId="90" fillId="93" borderId="27" xfId="0" applyFont="1" applyFill="1" applyBorder="1"/>
    <xf numFmtId="168" fontId="90" fillId="93" borderId="29" xfId="801" applyNumberFormat="1" applyFont="1" applyFill="1" applyBorder="1"/>
    <xf numFmtId="0" fontId="90" fillId="93" borderId="30" xfId="0" applyFont="1" applyFill="1" applyBorder="1"/>
    <xf numFmtId="49" fontId="90" fillId="93" borderId="31" xfId="801" applyNumberFormat="1" applyFont="1" applyFill="1" applyBorder="1" applyAlignment="1">
      <alignment horizontal="left"/>
    </xf>
    <xf numFmtId="168" fontId="90" fillId="93" borderId="32" xfId="801" applyNumberFormat="1" applyFont="1" applyFill="1" applyBorder="1"/>
    <xf numFmtId="169" fontId="89" fillId="0" borderId="0" xfId="0" applyNumberFormat="1" applyFont="1"/>
    <xf numFmtId="185" fontId="90" fillId="93" borderId="32" xfId="801" applyNumberFormat="1" applyFont="1" applyFill="1" applyBorder="1"/>
    <xf numFmtId="10" fontId="90" fillId="0" borderId="0" xfId="913" applyNumberFormat="1" applyFont="1" applyFill="1"/>
    <xf numFmtId="0" fontId="90" fillId="93" borderId="33" xfId="0" applyFont="1" applyFill="1" applyBorder="1"/>
    <xf numFmtId="49" fontId="90" fillId="93" borderId="34" xfId="801" applyNumberFormat="1" applyFont="1" applyFill="1" applyBorder="1" applyAlignment="1">
      <alignment horizontal="left"/>
    </xf>
    <xf numFmtId="185" fontId="90" fillId="93" borderId="35" xfId="801" applyNumberFormat="1" applyFont="1" applyFill="1" applyBorder="1"/>
    <xf numFmtId="10" fontId="90" fillId="0" borderId="0" xfId="913" applyNumberFormat="1" applyFont="1"/>
    <xf numFmtId="49" fontId="92" fillId="92" borderId="27" xfId="801" applyNumberFormat="1" applyFont="1" applyFill="1" applyBorder="1" applyAlignment="1">
      <alignment horizontal="left"/>
    </xf>
    <xf numFmtId="10" fontId="91" fillId="0" borderId="0" xfId="0" applyNumberFormat="1" applyFont="1"/>
    <xf numFmtId="168" fontId="90" fillId="0" borderId="0" xfId="0" applyNumberFormat="1" applyFont="1"/>
    <xf numFmtId="169" fontId="91" fillId="0" borderId="0" xfId="0" applyNumberFormat="1" applyFont="1"/>
    <xf numFmtId="0" fontId="93" fillId="92" borderId="33" xfId="0" applyFont="1" applyFill="1" applyBorder="1"/>
    <xf numFmtId="182" fontId="92" fillId="92" borderId="34" xfId="0" applyNumberFormat="1" applyFont="1" applyFill="1" applyBorder="1"/>
    <xf numFmtId="182" fontId="92" fillId="92" borderId="35" xfId="0" applyNumberFormat="1" applyFont="1" applyFill="1" applyBorder="1"/>
    <xf numFmtId="182" fontId="89" fillId="0" borderId="0" xfId="0" applyNumberFormat="1" applyFont="1"/>
    <xf numFmtId="168" fontId="90" fillId="0" borderId="0" xfId="793" applyNumberFormat="1" applyFont="1"/>
    <xf numFmtId="175" fontId="90" fillId="0" borderId="0" xfId="801" applyNumberFormat="1" applyFont="1" applyFill="1"/>
    <xf numFmtId="168" fontId="92" fillId="92" borderId="28" xfId="801" quotePrefix="1" applyNumberFormat="1" applyFont="1" applyFill="1" applyBorder="1" applyAlignment="1">
      <alignment horizontal="center" vertical="center"/>
    </xf>
    <xf numFmtId="171" fontId="90" fillId="0" borderId="25" xfId="0" applyNumberFormat="1" applyFont="1" applyBorder="1"/>
    <xf numFmtId="176" fontId="90" fillId="0" borderId="25" xfId="801" applyNumberFormat="1" applyFont="1" applyBorder="1"/>
    <xf numFmtId="189" fontId="90" fillId="0" borderId="31" xfId="0" applyNumberFormat="1" applyFont="1" applyBorder="1" applyAlignment="1">
      <alignment horizontal="right"/>
    </xf>
    <xf numFmtId="189" fontId="90" fillId="0" borderId="0" xfId="0" applyNumberFormat="1" applyFont="1"/>
    <xf numFmtId="4" fontId="90" fillId="94" borderId="0" xfId="0" applyNumberFormat="1" applyFont="1" applyFill="1"/>
    <xf numFmtId="171" fontId="90" fillId="0" borderId="0" xfId="0" applyNumberFormat="1" applyFont="1"/>
    <xf numFmtId="184" fontId="90" fillId="0" borderId="0" xfId="0" applyNumberFormat="1" applyFont="1"/>
    <xf numFmtId="10" fontId="98" fillId="0" borderId="0" xfId="0" applyNumberFormat="1" applyFont="1"/>
    <xf numFmtId="189" fontId="89" fillId="0" borderId="31" xfId="0" applyNumberFormat="1" applyFont="1" applyBorder="1" applyAlignment="1">
      <alignment horizontal="right"/>
    </xf>
    <xf numFmtId="0" fontId="99" fillId="0" borderId="0" xfId="0" applyFont="1"/>
    <xf numFmtId="0" fontId="100" fillId="0" borderId="0" xfId="0" applyFont="1"/>
    <xf numFmtId="169" fontId="100" fillId="0" borderId="0" xfId="0" applyNumberFormat="1" applyFont="1"/>
    <xf numFmtId="168" fontId="90" fillId="0" borderId="0" xfId="801" applyNumberFormat="1" applyFont="1" applyFill="1" applyBorder="1"/>
    <xf numFmtId="179" fontId="91" fillId="0" borderId="0" xfId="0" applyNumberFormat="1" applyFont="1"/>
    <xf numFmtId="168" fontId="90" fillId="0" borderId="0" xfId="801" applyNumberFormat="1" applyFont="1" applyBorder="1"/>
    <xf numFmtId="2" fontId="100" fillId="0" borderId="0" xfId="0" applyNumberFormat="1" applyFont="1"/>
    <xf numFmtId="10" fontId="90" fillId="0" borderId="0" xfId="913" applyNumberFormat="1" applyFont="1" applyBorder="1"/>
    <xf numFmtId="10" fontId="91" fillId="0" borderId="0" xfId="913" applyNumberFormat="1" applyFont="1" applyFill="1" applyBorder="1"/>
    <xf numFmtId="10" fontId="100" fillId="0" borderId="0" xfId="0" applyNumberFormat="1" applyFont="1"/>
    <xf numFmtId="0" fontId="100" fillId="0" borderId="0" xfId="0" quotePrefix="1" applyFont="1"/>
    <xf numFmtId="174" fontId="89" fillId="0" borderId="0" xfId="0" applyNumberFormat="1" applyFont="1"/>
    <xf numFmtId="180" fontId="90" fillId="0" borderId="0" xfId="0" applyNumberFormat="1" applyFont="1"/>
    <xf numFmtId="10" fontId="90" fillId="0" borderId="0" xfId="0" applyNumberFormat="1" applyFont="1"/>
    <xf numFmtId="0" fontId="101" fillId="0" borderId="30" xfId="0" applyFont="1" applyBorder="1"/>
    <xf numFmtId="189" fontId="101" fillId="0" borderId="31" xfId="0" applyNumberFormat="1" applyFont="1" applyBorder="1" applyAlignment="1">
      <alignment horizontal="right"/>
    </xf>
    <xf numFmtId="0" fontId="89" fillId="0" borderId="33" xfId="0" applyFont="1" applyBorder="1"/>
    <xf numFmtId="189" fontId="89" fillId="0" borderId="34" xfId="0" applyNumberFormat="1" applyFont="1" applyBorder="1" applyAlignment="1">
      <alignment horizontal="right"/>
    </xf>
    <xf numFmtId="197" fontId="90" fillId="0" borderId="0" xfId="793" applyNumberFormat="1" applyFont="1"/>
    <xf numFmtId="4" fontId="90" fillId="0" borderId="0" xfId="0" applyNumberFormat="1" applyFont="1"/>
    <xf numFmtId="0" fontId="102" fillId="0" borderId="0" xfId="1664"/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85" fillId="0" borderId="0" xfId="0" applyNumberFormat="1" applyFont="1" applyAlignment="1">
      <alignment wrapText="1"/>
    </xf>
    <xf numFmtId="200" fontId="103" fillId="0" borderId="0" xfId="0" applyNumberFormat="1" applyFont="1"/>
    <xf numFmtId="41" fontId="85" fillId="0" borderId="0" xfId="868" applyNumberFormat="1" applyFont="1" applyAlignment="1">
      <alignment vertical="center"/>
    </xf>
    <xf numFmtId="41" fontId="87" fillId="99" borderId="65" xfId="869" applyNumberFormat="1" applyFont="1" applyFill="1" applyBorder="1" applyAlignment="1">
      <alignment vertical="center"/>
    </xf>
    <xf numFmtId="41" fontId="86" fillId="99" borderId="65" xfId="869" applyNumberFormat="1" applyFont="1" applyFill="1" applyBorder="1" applyAlignment="1">
      <alignment vertical="center"/>
    </xf>
    <xf numFmtId="41" fontId="87" fillId="99" borderId="65" xfId="868" applyNumberFormat="1" applyFont="1" applyFill="1" applyBorder="1" applyAlignment="1">
      <alignment vertical="center"/>
    </xf>
    <xf numFmtId="3" fontId="87" fillId="0" borderId="0" xfId="869" applyNumberFormat="1" applyFont="1"/>
    <xf numFmtId="201" fontId="87" fillId="0" borderId="0" xfId="913" applyNumberFormat="1" applyFont="1" applyFill="1" applyBorder="1" applyAlignment="1">
      <alignment vertical="center"/>
    </xf>
    <xf numFmtId="41" fontId="85" fillId="0" borderId="1" xfId="869" applyNumberFormat="1" applyFont="1" applyBorder="1" applyAlignment="1">
      <alignment vertical="center"/>
    </xf>
    <xf numFmtId="41" fontId="84" fillId="72" borderId="1" xfId="869" applyNumberFormat="1" applyFont="1" applyFill="1" applyBorder="1" applyAlignment="1">
      <alignment vertical="center"/>
    </xf>
    <xf numFmtId="41" fontId="84" fillId="72" borderId="1" xfId="869" applyNumberFormat="1" applyFont="1" applyFill="1" applyBorder="1" applyAlignment="1">
      <alignment horizontal="right" vertical="center"/>
    </xf>
    <xf numFmtId="41" fontId="84" fillId="0" borderId="1" xfId="869" applyNumberFormat="1" applyFont="1" applyBorder="1" applyAlignment="1">
      <alignment vertical="center"/>
    </xf>
    <xf numFmtId="41" fontId="85" fillId="0" borderId="0" xfId="868" applyNumberFormat="1" applyFont="1"/>
    <xf numFmtId="201" fontId="87" fillId="0" borderId="0" xfId="868" applyNumberFormat="1" applyFont="1" applyAlignment="1">
      <alignment vertical="center"/>
    </xf>
    <xf numFmtId="201" fontId="87" fillId="0" borderId="0" xfId="868" applyNumberFormat="1" applyFont="1" applyAlignment="1">
      <alignment horizontal="center" vertical="center"/>
    </xf>
    <xf numFmtId="41" fontId="86" fillId="99" borderId="75" xfId="869" applyNumberFormat="1" applyFont="1" applyFill="1" applyBorder="1" applyAlignment="1">
      <alignment horizontal="center" vertical="center"/>
    </xf>
    <xf numFmtId="201" fontId="86" fillId="99" borderId="76" xfId="869" applyNumberFormat="1" applyFont="1" applyFill="1" applyBorder="1" applyAlignment="1">
      <alignment horizontal="center" vertical="center"/>
    </xf>
    <xf numFmtId="201" fontId="87" fillId="99" borderId="66" xfId="913" applyNumberFormat="1" applyFont="1" applyFill="1" applyBorder="1" applyAlignment="1">
      <alignment vertical="center"/>
    </xf>
    <xf numFmtId="41" fontId="86" fillId="99" borderId="69" xfId="869" applyNumberFormat="1" applyFont="1" applyFill="1" applyBorder="1" applyAlignment="1">
      <alignment vertical="center"/>
    </xf>
    <xf numFmtId="201" fontId="86" fillId="99" borderId="70" xfId="913" applyNumberFormat="1" applyFont="1" applyFill="1" applyBorder="1" applyAlignment="1">
      <alignment vertical="center"/>
    </xf>
    <xf numFmtId="201" fontId="87" fillId="99" borderId="66" xfId="869" applyNumberFormat="1" applyFont="1" applyFill="1" applyBorder="1" applyAlignment="1">
      <alignment vertical="center"/>
    </xf>
    <xf numFmtId="201" fontId="86" fillId="99" borderId="70" xfId="869" applyNumberFormat="1" applyFont="1" applyFill="1" applyBorder="1" applyAlignment="1">
      <alignment vertical="center"/>
    </xf>
    <xf numFmtId="41" fontId="86" fillId="99" borderId="71" xfId="869" applyNumberFormat="1" applyFont="1" applyFill="1" applyBorder="1" applyAlignment="1">
      <alignment horizontal="center" vertical="center"/>
    </xf>
    <xf numFmtId="201" fontId="86" fillId="99" borderId="72" xfId="0" applyNumberFormat="1" applyFont="1" applyFill="1" applyBorder="1" applyAlignment="1">
      <alignment horizontal="center" vertical="center"/>
    </xf>
    <xf numFmtId="201" fontId="87" fillId="99" borderId="66" xfId="0" applyNumberFormat="1" applyFont="1" applyFill="1" applyBorder="1" applyAlignment="1">
      <alignment horizontal="center" vertical="center" wrapText="1"/>
    </xf>
    <xf numFmtId="201" fontId="87" fillId="99" borderId="66" xfId="1660" applyNumberFormat="1" applyFont="1" applyFill="1" applyBorder="1" applyAlignment="1">
      <alignment horizontal="center" vertical="center" wrapText="1"/>
    </xf>
    <xf numFmtId="201" fontId="86" fillId="99" borderId="66" xfId="0" applyNumberFormat="1" applyFont="1" applyFill="1" applyBorder="1" applyAlignment="1">
      <alignment horizontal="center" vertical="center" wrapText="1"/>
    </xf>
    <xf numFmtId="201" fontId="86" fillId="99" borderId="70" xfId="0" applyNumberFormat="1" applyFont="1" applyFill="1" applyBorder="1" applyAlignment="1">
      <alignment horizontal="center" vertical="center" wrapText="1"/>
    </xf>
    <xf numFmtId="201" fontId="86" fillId="99" borderId="66" xfId="1660" applyNumberFormat="1" applyFont="1" applyFill="1" applyBorder="1" applyAlignment="1">
      <alignment horizontal="center" vertical="center" wrapText="1"/>
    </xf>
    <xf numFmtId="203" fontId="84" fillId="95" borderId="1" xfId="869" applyNumberFormat="1" applyFont="1" applyFill="1" applyBorder="1" applyAlignment="1">
      <alignment vertical="center"/>
    </xf>
    <xf numFmtId="41" fontId="69" fillId="0" borderId="0" xfId="868" applyNumberFormat="1" applyFont="1"/>
    <xf numFmtId="49" fontId="90" fillId="93" borderId="28" xfId="801" applyNumberFormat="1" applyFont="1" applyFill="1" applyBorder="1" applyAlignment="1">
      <alignment horizontal="center"/>
    </xf>
    <xf numFmtId="49" fontId="90" fillId="93" borderId="31" xfId="801" applyNumberFormat="1" applyFont="1" applyFill="1" applyBorder="1" applyAlignment="1">
      <alignment horizontal="center"/>
    </xf>
    <xf numFmtId="0" fontId="80" fillId="0" borderId="61" xfId="0" applyFont="1" applyBorder="1" applyAlignment="1">
      <alignment horizontal="right" vertical="center"/>
    </xf>
    <xf numFmtId="41" fontId="77" fillId="0" borderId="0" xfId="1660" applyFont="1" applyAlignment="1">
      <alignment horizontal="right" vertical="center"/>
    </xf>
    <xf numFmtId="41" fontId="80" fillId="0" borderId="0" xfId="1660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41" fontId="90" fillId="98" borderId="0" xfId="1660" applyFont="1" applyFill="1"/>
    <xf numFmtId="41" fontId="70" fillId="98" borderId="0" xfId="1660" applyFont="1" applyFill="1"/>
    <xf numFmtId="0" fontId="89" fillId="95" borderId="25" xfId="0" applyFont="1" applyFill="1" applyBorder="1"/>
    <xf numFmtId="0" fontId="89" fillId="0" borderId="80" xfId="0" applyFont="1" applyBorder="1"/>
    <xf numFmtId="3" fontId="90" fillId="0" borderId="0" xfId="0" applyNumberFormat="1" applyFont="1"/>
    <xf numFmtId="3" fontId="89" fillId="0" borderId="0" xfId="0" applyNumberFormat="1" applyFont="1"/>
    <xf numFmtId="41" fontId="69" fillId="0" borderId="0" xfId="1660" applyFont="1"/>
    <xf numFmtId="187" fontId="77" fillId="0" borderId="0" xfId="0" applyNumberFormat="1" applyFont="1" applyAlignment="1">
      <alignment horizontal="right" vertical="center"/>
    </xf>
    <xf numFmtId="187" fontId="77" fillId="0" borderId="38" xfId="0" applyNumberFormat="1" applyFont="1" applyBorder="1" applyAlignment="1">
      <alignment horizontal="right" vertical="center"/>
    </xf>
    <xf numFmtId="187" fontId="80" fillId="0" borderId="0" xfId="0" applyNumberFormat="1" applyFont="1" applyAlignment="1">
      <alignment horizontal="right" vertical="center"/>
    </xf>
    <xf numFmtId="201" fontId="86" fillId="0" borderId="0" xfId="868" applyNumberFormat="1" applyFont="1" applyAlignment="1">
      <alignment horizontal="center" vertical="center"/>
    </xf>
    <xf numFmtId="3" fontId="86" fillId="0" borderId="0" xfId="869" applyNumberFormat="1" applyFont="1" applyAlignment="1">
      <alignment horizontal="center" vertical="center"/>
    </xf>
    <xf numFmtId="201" fontId="86" fillId="0" borderId="0" xfId="869" applyNumberFormat="1" applyFont="1" applyAlignment="1">
      <alignment horizontal="center" vertical="center"/>
    </xf>
    <xf numFmtId="201" fontId="87" fillId="0" borderId="0" xfId="869" applyNumberFormat="1" applyFont="1" applyAlignment="1">
      <alignment vertical="center"/>
    </xf>
    <xf numFmtId="201" fontId="86" fillId="0" borderId="0" xfId="869" applyNumberFormat="1" applyFont="1" applyAlignment="1">
      <alignment vertical="center"/>
    </xf>
    <xf numFmtId="0" fontId="80" fillId="0" borderId="61" xfId="0" applyFont="1" applyBorder="1" applyAlignment="1">
      <alignment horizontal="center" vertical="center"/>
    </xf>
    <xf numFmtId="41" fontId="69" fillId="0" borderId="0" xfId="1660" applyFont="1" applyAlignment="1">
      <alignment vertical="center"/>
    </xf>
    <xf numFmtId="41" fontId="73" fillId="0" borderId="0" xfId="1660" applyFont="1" applyAlignment="1">
      <alignment vertical="center"/>
    </xf>
    <xf numFmtId="41" fontId="72" fillId="0" borderId="0" xfId="0" applyNumberFormat="1" applyFont="1" applyAlignment="1">
      <alignment vertical="center"/>
    </xf>
    <xf numFmtId="41" fontId="71" fillId="0" borderId="0" xfId="0" applyNumberFormat="1" applyFont="1" applyAlignment="1">
      <alignment vertical="center"/>
    </xf>
    <xf numFmtId="41" fontId="73" fillId="0" borderId="0" xfId="0" applyNumberFormat="1" applyFont="1"/>
    <xf numFmtId="200" fontId="70" fillId="0" borderId="0" xfId="0" applyNumberFormat="1" applyFont="1"/>
    <xf numFmtId="187" fontId="90" fillId="0" borderId="0" xfId="0" applyNumberFormat="1" applyFont="1"/>
    <xf numFmtId="187" fontId="89" fillId="0" borderId="80" xfId="0" applyNumberFormat="1" applyFont="1" applyBorder="1"/>
    <xf numFmtId="0" fontId="72" fillId="0" borderId="25" xfId="0" applyFont="1" applyBorder="1" applyAlignment="1">
      <alignment vertical="center"/>
    </xf>
    <xf numFmtId="0" fontId="72" fillId="0" borderId="25" xfId="0" applyFont="1" applyBorder="1" applyAlignment="1">
      <alignment horizontal="center" vertical="center"/>
    </xf>
    <xf numFmtId="203" fontId="71" fillId="0" borderId="25" xfId="0" applyNumberFormat="1" applyFont="1" applyBorder="1" applyAlignment="1">
      <alignment horizontal="right" vertical="center"/>
    </xf>
    <xf numFmtId="203" fontId="72" fillId="0" borderId="25" xfId="0" applyNumberFormat="1" applyFont="1" applyBorder="1" applyAlignment="1">
      <alignment horizontal="right" vertical="center"/>
    </xf>
    <xf numFmtId="3" fontId="104" fillId="0" borderId="0" xfId="868" applyNumberFormat="1" applyFont="1"/>
    <xf numFmtId="41" fontId="104" fillId="0" borderId="0" xfId="1660" applyFont="1" applyFill="1" applyBorder="1"/>
    <xf numFmtId="41" fontId="89" fillId="0" borderId="0" xfId="0" applyNumberFormat="1" applyFont="1" applyAlignment="1">
      <alignment horizontal="center"/>
    </xf>
    <xf numFmtId="0" fontId="89" fillId="0" borderId="0" xfId="0" applyFont="1" applyAlignment="1">
      <alignment horizontal="center"/>
    </xf>
    <xf numFmtId="17" fontId="89" fillId="0" borderId="0" xfId="0" applyNumberFormat="1" applyFont="1" applyAlignment="1">
      <alignment horizontal="center"/>
    </xf>
    <xf numFmtId="41" fontId="90" fillId="0" borderId="0" xfId="0" applyNumberFormat="1" applyFont="1"/>
    <xf numFmtId="41" fontId="90" fillId="0" borderId="25" xfId="0" applyNumberFormat="1" applyFont="1" applyBorder="1"/>
    <xf numFmtId="41" fontId="89" fillId="0" borderId="0" xfId="0" applyNumberFormat="1" applyFont="1"/>
    <xf numFmtId="0" fontId="93" fillId="0" borderId="0" xfId="0" applyFont="1"/>
    <xf numFmtId="41" fontId="89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17" fontId="89" fillId="0" borderId="0" xfId="0" applyNumberFormat="1" applyFont="1" applyAlignment="1">
      <alignment horizontal="center" vertical="center"/>
    </xf>
    <xf numFmtId="41" fontId="90" fillId="0" borderId="0" xfId="1660" applyFont="1"/>
    <xf numFmtId="0" fontId="84" fillId="98" borderId="0" xfId="0" applyFont="1" applyFill="1"/>
    <xf numFmtId="0" fontId="104" fillId="98" borderId="0" xfId="0" applyFont="1" applyFill="1" applyAlignment="1">
      <alignment horizontal="center"/>
    </xf>
    <xf numFmtId="41" fontId="105" fillId="98" borderId="0" xfId="1660" applyFont="1" applyFill="1"/>
    <xf numFmtId="0" fontId="72" fillId="0" borderId="82" xfId="0" applyFont="1" applyBorder="1" applyAlignment="1">
      <alignment horizontal="center" vertical="center"/>
    </xf>
    <xf numFmtId="203" fontId="71" fillId="0" borderId="82" xfId="0" applyNumberFormat="1" applyFont="1" applyBorder="1" applyAlignment="1">
      <alignment horizontal="right" vertical="center"/>
    </xf>
    <xf numFmtId="200" fontId="72" fillId="0" borderId="0" xfId="0" applyNumberFormat="1" applyFont="1" applyAlignment="1">
      <alignment vertical="center"/>
    </xf>
    <xf numFmtId="201" fontId="72" fillId="0" borderId="0" xfId="0" applyNumberFormat="1" applyFont="1" applyAlignment="1">
      <alignment vertical="center"/>
    </xf>
    <xf numFmtId="200" fontId="71" fillId="0" borderId="0" xfId="0" applyNumberFormat="1" applyFont="1" applyAlignment="1">
      <alignment vertical="center"/>
    </xf>
    <xf numFmtId="41" fontId="73" fillId="0" borderId="0" xfId="1660" applyFont="1"/>
    <xf numFmtId="41" fontId="87" fillId="0" borderId="65" xfId="869" applyNumberFormat="1" applyFont="1" applyBorder="1" applyAlignment="1">
      <alignment vertical="center"/>
    </xf>
    <xf numFmtId="201" fontId="87" fillId="0" borderId="66" xfId="869" applyNumberFormat="1" applyFont="1" applyBorder="1" applyAlignment="1">
      <alignment vertical="center"/>
    </xf>
    <xf numFmtId="41" fontId="87" fillId="0" borderId="67" xfId="869" applyNumberFormat="1" applyFont="1" applyBorder="1" applyAlignment="1">
      <alignment vertical="center"/>
    </xf>
    <xf numFmtId="201" fontId="87" fillId="0" borderId="68" xfId="869" applyNumberFormat="1" applyFont="1" applyBorder="1" applyAlignment="1">
      <alignment vertical="center"/>
    </xf>
    <xf numFmtId="203" fontId="84" fillId="72" borderId="1" xfId="869" applyNumberFormat="1" applyFont="1" applyFill="1" applyBorder="1" applyAlignment="1">
      <alignment horizontal="center" vertical="center"/>
    </xf>
    <xf numFmtId="14" fontId="84" fillId="72" borderId="1" xfId="869" applyNumberFormat="1" applyFont="1" applyFill="1" applyBorder="1" applyAlignment="1">
      <alignment horizontal="center" vertical="center"/>
    </xf>
    <xf numFmtId="203" fontId="84" fillId="72" borderId="1" xfId="869" applyNumberFormat="1" applyFont="1" applyFill="1" applyBorder="1" applyAlignment="1">
      <alignment horizontal="center" vertical="top"/>
    </xf>
    <xf numFmtId="203" fontId="85" fillId="0" borderId="1" xfId="869" applyNumberFormat="1" applyFont="1" applyBorder="1" applyAlignment="1">
      <alignment horizontal="left" vertical="center" indent="3"/>
    </xf>
    <xf numFmtId="3" fontId="85" fillId="0" borderId="1" xfId="869" applyNumberFormat="1" applyFont="1" applyBorder="1"/>
    <xf numFmtId="0" fontId="85" fillId="0" borderId="1" xfId="0" applyFont="1" applyBorder="1" applyAlignment="1">
      <alignment horizontal="left" vertical="center" indent="1"/>
    </xf>
    <xf numFmtId="0" fontId="85" fillId="0" borderId="1" xfId="0" applyFont="1" applyBorder="1" applyAlignment="1">
      <alignment horizontal="left" vertical="center" indent="2"/>
    </xf>
    <xf numFmtId="3" fontId="85" fillId="0" borderId="1" xfId="0" applyNumberFormat="1" applyFont="1" applyBorder="1" applyAlignment="1">
      <alignment vertical="center"/>
    </xf>
    <xf numFmtId="203" fontId="84" fillId="72" borderId="1" xfId="869" applyNumberFormat="1" applyFont="1" applyFill="1" applyBorder="1" applyAlignment="1">
      <alignment horizontal="left" vertical="center" wrapText="1" indent="2"/>
    </xf>
    <xf numFmtId="203" fontId="84" fillId="72" borderId="1" xfId="869" applyNumberFormat="1" applyFont="1" applyFill="1" applyBorder="1" applyAlignment="1">
      <alignment horizontal="left" vertical="center" indent="1"/>
    </xf>
    <xf numFmtId="203" fontId="84" fillId="0" borderId="1" xfId="869" applyNumberFormat="1" applyFont="1" applyBorder="1" applyAlignment="1">
      <alignment vertical="center"/>
    </xf>
    <xf numFmtId="203" fontId="85" fillId="0" borderId="0" xfId="869" applyNumberFormat="1" applyFont="1"/>
    <xf numFmtId="169" fontId="90" fillId="94" borderId="0" xfId="0" applyNumberFormat="1" applyFont="1" applyFill="1"/>
    <xf numFmtId="14" fontId="84" fillId="72" borderId="49" xfId="1716" applyNumberFormat="1" applyFont="1" applyFill="1" applyBorder="1" applyAlignment="1">
      <alignment horizontal="center" vertical="center"/>
    </xf>
    <xf numFmtId="203" fontId="84" fillId="72" borderId="54" xfId="1716" applyNumberFormat="1" applyFont="1" applyFill="1" applyBorder="1" applyAlignment="1">
      <alignment horizontal="center" vertical="top"/>
    </xf>
    <xf numFmtId="203" fontId="85" fillId="0" borderId="1" xfId="1716" applyNumberFormat="1" applyFont="1" applyBorder="1" applyAlignment="1">
      <alignment vertical="center"/>
    </xf>
    <xf numFmtId="204" fontId="85" fillId="0" borderId="1" xfId="1716" applyNumberFormat="1" applyFont="1" applyBorder="1" applyAlignment="1">
      <alignment vertical="center"/>
    </xf>
    <xf numFmtId="203" fontId="84" fillId="95" borderId="1" xfId="1716" applyNumberFormat="1" applyFont="1" applyFill="1" applyBorder="1" applyAlignment="1">
      <alignment vertical="center"/>
    </xf>
    <xf numFmtId="203" fontId="84" fillId="72" borderId="1" xfId="1716" applyNumberFormat="1" applyFont="1" applyFill="1" applyBorder="1" applyAlignment="1">
      <alignment vertical="center"/>
    </xf>
    <xf numFmtId="203" fontId="85" fillId="0" borderId="1" xfId="1716" applyNumberFormat="1" applyFont="1" applyBorder="1" applyAlignment="1">
      <alignment horizontal="center" vertical="center"/>
    </xf>
    <xf numFmtId="203" fontId="84" fillId="97" borderId="1" xfId="1716" applyNumberFormat="1" applyFont="1" applyFill="1" applyBorder="1" applyAlignment="1">
      <alignment vertical="center"/>
    </xf>
    <xf numFmtId="203" fontId="85" fillId="0" borderId="0" xfId="1716" applyNumberFormat="1" applyFont="1"/>
    <xf numFmtId="204" fontId="84" fillId="72" borderId="46" xfId="1716" applyNumberFormat="1" applyFont="1" applyFill="1" applyBorder="1" applyAlignment="1">
      <alignment vertical="center"/>
    </xf>
    <xf numFmtId="187" fontId="81" fillId="0" borderId="0" xfId="913" applyNumberFormat="1" applyFont="1" applyFill="1"/>
    <xf numFmtId="0" fontId="90" fillId="0" borderId="40" xfId="1699" applyFont="1" applyBorder="1" applyAlignment="1">
      <alignment horizontal="left" vertical="center" wrapText="1"/>
    </xf>
    <xf numFmtId="0" fontId="89" fillId="0" borderId="40" xfId="1699" applyFont="1" applyBorder="1" applyAlignment="1">
      <alignment horizontal="left" vertical="center" wrapText="1"/>
    </xf>
    <xf numFmtId="0" fontId="89" fillId="95" borderId="51" xfId="1699" applyFont="1" applyFill="1" applyBorder="1" applyAlignment="1">
      <alignment horizontal="left" vertical="center" wrapText="1"/>
    </xf>
    <xf numFmtId="0" fontId="89" fillId="95" borderId="40" xfId="1699" applyFont="1" applyFill="1" applyBorder="1" applyAlignment="1">
      <alignment vertical="center" wrapText="1"/>
    </xf>
    <xf numFmtId="14" fontId="89" fillId="95" borderId="83" xfId="1699" applyNumberFormat="1" applyFont="1" applyFill="1" applyBorder="1" applyAlignment="1">
      <alignment horizontal="center" vertical="center"/>
    </xf>
    <xf numFmtId="14" fontId="89" fillId="95" borderId="84" xfId="1699" applyNumberFormat="1" applyFont="1" applyFill="1" applyBorder="1" applyAlignment="1">
      <alignment horizontal="center" vertical="center"/>
    </xf>
    <xf numFmtId="0" fontId="89" fillId="95" borderId="39" xfId="1699" applyFont="1" applyFill="1" applyBorder="1" applyAlignment="1">
      <alignment horizontal="center" vertical="center"/>
    </xf>
    <xf numFmtId="0" fontId="89" fillId="95" borderId="44" xfId="1699" applyFont="1" applyFill="1" applyBorder="1" applyAlignment="1">
      <alignment horizontal="center" vertical="center"/>
    </xf>
    <xf numFmtId="197" fontId="90" fillId="0" borderId="41" xfId="1699" applyNumberFormat="1" applyFont="1" applyBorder="1" applyAlignment="1">
      <alignment horizontal="right" vertical="center" wrapText="1"/>
    </xf>
    <xf numFmtId="197" fontId="90" fillId="0" borderId="43" xfId="1699" applyNumberFormat="1" applyFont="1" applyBorder="1" applyAlignment="1">
      <alignment horizontal="right" vertical="center" wrapText="1"/>
    </xf>
    <xf numFmtId="197" fontId="89" fillId="0" borderId="43" xfId="1699" applyNumberFormat="1" applyFont="1" applyBorder="1" applyAlignment="1">
      <alignment horizontal="right" vertical="center" wrapText="1"/>
    </xf>
    <xf numFmtId="197" fontId="89" fillId="0" borderId="41" xfId="1699" applyNumberFormat="1" applyFont="1" applyBorder="1" applyAlignment="1">
      <alignment horizontal="right" vertical="center" wrapText="1"/>
    </xf>
    <xf numFmtId="197" fontId="89" fillId="95" borderId="41" xfId="1699" applyNumberFormat="1" applyFont="1" applyFill="1" applyBorder="1" applyAlignment="1">
      <alignment vertical="center" wrapText="1"/>
    </xf>
    <xf numFmtId="197" fontId="89" fillId="95" borderId="43" xfId="1699" applyNumberFormat="1" applyFont="1" applyFill="1" applyBorder="1" applyAlignment="1">
      <alignment vertical="center" wrapText="1"/>
    </xf>
    <xf numFmtId="197" fontId="89" fillId="0" borderId="41" xfId="1699" applyNumberFormat="1" applyFont="1" applyBorder="1" applyAlignment="1">
      <alignment vertical="center" wrapText="1"/>
    </xf>
    <xf numFmtId="197" fontId="90" fillId="95" borderId="41" xfId="1699" applyNumberFormat="1" applyFont="1" applyFill="1" applyBorder="1" applyAlignment="1">
      <alignment horizontal="right" vertical="center" wrapText="1"/>
    </xf>
    <xf numFmtId="197" fontId="90" fillId="95" borderId="43" xfId="1699" applyNumberFormat="1" applyFont="1" applyFill="1" applyBorder="1" applyAlignment="1">
      <alignment horizontal="right" vertical="center" wrapText="1"/>
    </xf>
    <xf numFmtId="197" fontId="89" fillId="95" borderId="48" xfId="1699" applyNumberFormat="1" applyFont="1" applyFill="1" applyBorder="1" applyAlignment="1">
      <alignment vertical="center" wrapText="1"/>
    </xf>
    <xf numFmtId="197" fontId="89" fillId="95" borderId="85" xfId="1699" applyNumberFormat="1" applyFont="1" applyFill="1" applyBorder="1" applyAlignment="1">
      <alignment vertical="center" wrapText="1"/>
    </xf>
    <xf numFmtId="187" fontId="82" fillId="0" borderId="0" xfId="913" applyNumberFormat="1" applyFont="1" applyFill="1"/>
    <xf numFmtId="187" fontId="90" fillId="0" borderId="0" xfId="1659" applyNumberFormat="1" applyFont="1"/>
    <xf numFmtId="187" fontId="89" fillId="0" borderId="0" xfId="1659" applyNumberFormat="1" applyFont="1"/>
    <xf numFmtId="41" fontId="77" fillId="0" borderId="0" xfId="0" applyNumberFormat="1" applyFont="1" applyAlignment="1">
      <alignment horizontal="right" vertical="center"/>
    </xf>
    <xf numFmtId="3" fontId="106" fillId="0" borderId="0" xfId="0" applyNumberFormat="1" applyFont="1"/>
    <xf numFmtId="9" fontId="90" fillId="0" borderId="0" xfId="913" applyFont="1"/>
    <xf numFmtId="204" fontId="85" fillId="0" borderId="1" xfId="869" applyNumberFormat="1" applyFont="1" applyBorder="1" applyAlignment="1">
      <alignment vertical="center"/>
    </xf>
    <xf numFmtId="0" fontId="78" fillId="0" borderId="0" xfId="0" applyFont="1" applyAlignment="1">
      <alignment vertical="center" wrapText="1"/>
    </xf>
    <xf numFmtId="0" fontId="78" fillId="0" borderId="0" xfId="0" applyFont="1" applyAlignment="1">
      <alignment vertical="center"/>
    </xf>
    <xf numFmtId="0" fontId="77" fillId="0" borderId="0" xfId="0" applyFont="1" applyAlignment="1">
      <alignment vertical="center" wrapText="1"/>
    </xf>
    <xf numFmtId="10" fontId="77" fillId="0" borderId="0" xfId="0" applyNumberFormat="1" applyFont="1" applyAlignment="1">
      <alignment horizontal="right" vertical="center"/>
    </xf>
    <xf numFmtId="10" fontId="77" fillId="0" borderId="38" xfId="0" applyNumberFormat="1" applyFont="1" applyBorder="1" applyAlignment="1">
      <alignment horizontal="right" vertical="center"/>
    </xf>
    <xf numFmtId="0" fontId="80" fillId="0" borderId="0" xfId="0" applyFont="1" applyAlignment="1">
      <alignment vertical="center" wrapText="1"/>
    </xf>
    <xf numFmtId="10" fontId="80" fillId="0" borderId="0" xfId="0" applyNumberFormat="1" applyFont="1" applyAlignment="1">
      <alignment horizontal="right" vertical="center"/>
    </xf>
    <xf numFmtId="0" fontId="80" fillId="0" borderId="0" xfId="0" applyFont="1" applyAlignment="1">
      <alignment horizontal="right" vertical="center"/>
    </xf>
    <xf numFmtId="0" fontId="108" fillId="0" borderId="61" xfId="0" applyFont="1" applyBorder="1" applyAlignment="1">
      <alignment vertical="center"/>
    </xf>
    <xf numFmtId="0" fontId="107" fillId="0" borderId="0" xfId="0" applyFont="1" applyAlignment="1">
      <alignment vertical="center" wrapText="1"/>
    </xf>
    <xf numFmtId="0" fontId="111" fillId="0" borderId="0" xfId="0" applyFont="1" applyAlignment="1">
      <alignment vertical="center"/>
    </xf>
    <xf numFmtId="3" fontId="77" fillId="0" borderId="0" xfId="0" applyNumberFormat="1" applyFont="1" applyAlignment="1">
      <alignment horizontal="center" vertical="center"/>
    </xf>
    <xf numFmtId="0" fontId="80" fillId="0" borderId="86" xfId="0" applyFont="1" applyBorder="1" applyAlignment="1">
      <alignment vertical="center"/>
    </xf>
    <xf numFmtId="0" fontId="80" fillId="0" borderId="86" xfId="0" applyFont="1" applyBorder="1" applyAlignment="1">
      <alignment horizontal="center" vertical="center"/>
    </xf>
    <xf numFmtId="0" fontId="80" fillId="0" borderId="86" xfId="0" applyFont="1" applyBorder="1" applyAlignment="1">
      <alignment horizontal="right" vertical="center"/>
    </xf>
    <xf numFmtId="0" fontId="112" fillId="0" borderId="0" xfId="0" applyFont="1" applyAlignment="1">
      <alignment horizontal="left" vertical="center"/>
    </xf>
    <xf numFmtId="0" fontId="71" fillId="0" borderId="61" xfId="0" applyFont="1" applyBorder="1" applyAlignment="1">
      <alignment horizontal="center" vertical="center"/>
    </xf>
    <xf numFmtId="41" fontId="71" fillId="0" borderId="0" xfId="1660" applyFont="1" applyAlignment="1">
      <alignment horizontal="right" vertical="center"/>
    </xf>
    <xf numFmtId="41" fontId="73" fillId="0" borderId="0" xfId="1658" applyNumberFormat="1" applyFont="1" applyAlignment="1">
      <alignment vertical="center"/>
    </xf>
    <xf numFmtId="203" fontId="73" fillId="0" borderId="0" xfId="0" applyNumberFormat="1" applyFont="1"/>
    <xf numFmtId="10" fontId="70" fillId="0" borderId="0" xfId="913" applyNumberFormat="1" applyFont="1"/>
    <xf numFmtId="41" fontId="73" fillId="0" borderId="0" xfId="0" applyNumberFormat="1" applyFont="1" applyAlignment="1">
      <alignment vertical="center"/>
    </xf>
    <xf numFmtId="201" fontId="71" fillId="0" borderId="0" xfId="0" applyNumberFormat="1" applyFont="1" applyAlignment="1">
      <alignment vertical="center"/>
    </xf>
    <xf numFmtId="0" fontId="71" fillId="0" borderId="0" xfId="0" applyFont="1" applyAlignment="1">
      <alignment horizontal="center" vertical="center"/>
    </xf>
    <xf numFmtId="0" fontId="80" fillId="0" borderId="0" xfId="0" applyFont="1" applyAlignment="1">
      <alignment horizontal="center"/>
    </xf>
    <xf numFmtId="0" fontId="71" fillId="0" borderId="61" xfId="0" applyFont="1" applyBorder="1" applyAlignment="1">
      <alignment horizontal="left"/>
    </xf>
    <xf numFmtId="0" fontId="72" fillId="0" borderId="79" xfId="0" applyFont="1" applyBorder="1" applyAlignment="1">
      <alignment vertical="center"/>
    </xf>
    <xf numFmtId="0" fontId="113" fillId="0" borderId="0" xfId="0" applyFont="1" applyAlignment="1">
      <alignment vertical="center"/>
    </xf>
    <xf numFmtId="0" fontId="72" fillId="0" borderId="61" xfId="0" applyFont="1" applyBorder="1" applyAlignment="1">
      <alignment vertical="center"/>
    </xf>
    <xf numFmtId="0" fontId="71" fillId="0" borderId="79" xfId="0" applyFont="1" applyBorder="1" applyAlignment="1">
      <alignment vertical="center"/>
    </xf>
    <xf numFmtId="0" fontId="114" fillId="0" borderId="61" xfId="0" applyFont="1" applyBorder="1" applyAlignment="1">
      <alignment horizontal="center" vertical="center"/>
    </xf>
    <xf numFmtId="0" fontId="90" fillId="0" borderId="89" xfId="1699" applyFont="1" applyBorder="1" applyAlignment="1">
      <alignment horizontal="left" vertical="center" wrapText="1"/>
    </xf>
    <xf numFmtId="0" fontId="90" fillId="0" borderId="90" xfId="1699" applyFont="1" applyBorder="1" applyAlignment="1">
      <alignment horizontal="left" vertical="center" wrapText="1"/>
    </xf>
    <xf numFmtId="0" fontId="89" fillId="0" borderId="89" xfId="1699" applyFont="1" applyBorder="1" applyAlignment="1">
      <alignment horizontal="left" vertical="center" wrapText="1"/>
    </xf>
    <xf numFmtId="0" fontId="115" fillId="0" borderId="91" xfId="0" applyFont="1" applyBorder="1" applyAlignment="1">
      <alignment vertical="center" wrapText="1"/>
    </xf>
    <xf numFmtId="0" fontId="115" fillId="0" borderId="92" xfId="0" applyFont="1" applyBorder="1" applyAlignment="1">
      <alignment vertical="center" wrapText="1"/>
    </xf>
    <xf numFmtId="0" fontId="89" fillId="95" borderId="93" xfId="1699" applyFont="1" applyFill="1" applyBorder="1" applyAlignment="1">
      <alignment horizontal="left" vertical="center" wrapText="1"/>
    </xf>
    <xf numFmtId="0" fontId="89" fillId="95" borderId="89" xfId="1699" applyFont="1" applyFill="1" applyBorder="1" applyAlignment="1">
      <alignment horizontal="left" vertical="center" wrapText="1"/>
    </xf>
    <xf numFmtId="0" fontId="89" fillId="95" borderId="94" xfId="1699" applyFont="1" applyFill="1" applyBorder="1" applyAlignment="1">
      <alignment horizontal="left" vertical="center" wrapText="1"/>
    </xf>
    <xf numFmtId="203" fontId="85" fillId="0" borderId="88" xfId="1716" applyNumberFormat="1" applyFont="1" applyBorder="1" applyAlignment="1">
      <alignment vertical="center"/>
    </xf>
    <xf numFmtId="203" fontId="84" fillId="95" borderId="88" xfId="1716" applyNumberFormat="1" applyFont="1" applyFill="1" applyBorder="1" applyAlignment="1">
      <alignment vertical="center" wrapText="1"/>
    </xf>
    <xf numFmtId="203" fontId="85" fillId="0" borderId="88" xfId="1716" applyNumberFormat="1" applyFont="1" applyBorder="1" applyAlignment="1">
      <alignment vertical="center" wrapText="1"/>
    </xf>
    <xf numFmtId="203" fontId="84" fillId="72" borderId="88" xfId="1716" applyNumberFormat="1" applyFont="1" applyFill="1" applyBorder="1" applyAlignment="1">
      <alignment vertical="center"/>
    </xf>
    <xf numFmtId="203" fontId="84" fillId="72" borderId="88" xfId="1716" applyNumberFormat="1" applyFont="1" applyFill="1" applyBorder="1" applyAlignment="1">
      <alignment vertical="center" wrapText="1"/>
    </xf>
    <xf numFmtId="203" fontId="85" fillId="0" borderId="53" xfId="1716" applyNumberFormat="1" applyFont="1" applyBorder="1" applyAlignment="1">
      <alignment vertical="center" wrapText="1"/>
    </xf>
    <xf numFmtId="203" fontId="85" fillId="0" borderId="53" xfId="1716" applyNumberFormat="1" applyFont="1" applyBorder="1" applyAlignment="1">
      <alignment vertical="center"/>
    </xf>
    <xf numFmtId="203" fontId="84" fillId="0" borderId="88" xfId="1716" applyNumberFormat="1" applyFont="1" applyBorder="1" applyAlignment="1">
      <alignment vertical="center" wrapText="1"/>
    </xf>
    <xf numFmtId="203" fontId="84" fillId="97" borderId="88" xfId="1716" applyNumberFormat="1" applyFont="1" applyFill="1" applyBorder="1" applyAlignment="1">
      <alignment vertical="center"/>
    </xf>
    <xf numFmtId="203" fontId="84" fillId="0" borderId="88" xfId="1716" applyNumberFormat="1" applyFont="1" applyBorder="1" applyAlignment="1">
      <alignment vertical="center"/>
    </xf>
    <xf numFmtId="203" fontId="84" fillId="72" borderId="97" xfId="1716" applyNumberFormat="1" applyFont="1" applyFill="1" applyBorder="1" applyAlignment="1">
      <alignment vertical="center"/>
    </xf>
    <xf numFmtId="0" fontId="116" fillId="0" borderId="98" xfId="0" applyFont="1" applyBorder="1" applyAlignment="1">
      <alignment horizontal="left" vertical="center" indent="1"/>
    </xf>
    <xf numFmtId="0" fontId="67" fillId="0" borderId="98" xfId="0" applyFont="1" applyBorder="1" applyAlignment="1">
      <alignment horizontal="left" vertical="center" indent="3"/>
    </xf>
    <xf numFmtId="203" fontId="85" fillId="0" borderId="53" xfId="1716" applyNumberFormat="1" applyFont="1" applyBorder="1" applyAlignment="1">
      <alignment horizontal="left" vertical="center" indent="3"/>
    </xf>
    <xf numFmtId="0" fontId="117" fillId="96" borderId="98" xfId="0" applyFont="1" applyFill="1" applyBorder="1" applyAlignment="1">
      <alignment horizontal="left" vertical="center" wrapText="1"/>
    </xf>
    <xf numFmtId="203" fontId="85" fillId="0" borderId="88" xfId="1716" applyNumberFormat="1" applyFont="1" applyBorder="1" applyAlignment="1">
      <alignment horizontal="left" vertical="center" indent="3"/>
    </xf>
    <xf numFmtId="0" fontId="117" fillId="101" borderId="98" xfId="0" applyFont="1" applyFill="1" applyBorder="1" applyAlignment="1">
      <alignment horizontal="left" vertical="center"/>
    </xf>
    <xf numFmtId="0" fontId="117" fillId="96" borderId="99" xfId="0" applyFont="1" applyFill="1" applyBorder="1" applyAlignment="1">
      <alignment horizontal="left" vertical="center"/>
    </xf>
    <xf numFmtId="203" fontId="84" fillId="72" borderId="100" xfId="1716" applyNumberFormat="1" applyFont="1" applyFill="1" applyBorder="1" applyAlignment="1">
      <alignment horizontal="left" vertical="center"/>
    </xf>
    <xf numFmtId="0" fontId="116" fillId="0" borderId="103" xfId="0" applyFont="1" applyBorder="1" applyAlignment="1">
      <alignment horizontal="left" vertical="center" indent="1"/>
    </xf>
    <xf numFmtId="0" fontId="67" fillId="0" borderId="104" xfId="0" applyFont="1" applyBorder="1" applyAlignment="1">
      <alignment horizontal="left" vertical="center" indent="3"/>
    </xf>
    <xf numFmtId="0" fontId="117" fillId="96" borderId="105" xfId="0" applyFont="1" applyFill="1" applyBorder="1" applyAlignment="1">
      <alignment horizontal="left" vertical="center"/>
    </xf>
    <xf numFmtId="0" fontId="117" fillId="96" borderId="98" xfId="0" applyFont="1" applyFill="1" applyBorder="1" applyAlignment="1">
      <alignment horizontal="left" vertical="center" indent="1"/>
    </xf>
    <xf numFmtId="203" fontId="84" fillId="0" borderId="88" xfId="1716" applyNumberFormat="1" applyFont="1" applyBorder="1" applyAlignment="1">
      <alignment horizontal="left" vertical="center" indent="1"/>
    </xf>
    <xf numFmtId="0" fontId="116" fillId="0" borderId="98" xfId="0" applyFont="1" applyBorder="1" applyAlignment="1">
      <alignment horizontal="left" vertical="center" wrapText="1" indent="3"/>
    </xf>
    <xf numFmtId="203" fontId="84" fillId="72" borderId="97" xfId="1716" applyNumberFormat="1" applyFont="1" applyFill="1" applyBorder="1" applyAlignment="1">
      <alignment horizontal="left" vertical="center" indent="1"/>
    </xf>
    <xf numFmtId="203" fontId="78" fillId="0" borderId="53" xfId="869" applyNumberFormat="1" applyFont="1" applyBorder="1" applyAlignment="1">
      <alignment horizontal="left" vertical="center" indent="3"/>
    </xf>
    <xf numFmtId="0" fontId="80" fillId="0" borderId="6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37" xfId="0" applyFont="1" applyBorder="1" applyAlignment="1">
      <alignment horizontal="center" vertical="center"/>
    </xf>
    <xf numFmtId="3" fontId="77" fillId="0" borderId="79" xfId="0" applyNumberFormat="1" applyFont="1" applyBorder="1" applyAlignment="1">
      <alignment horizontal="right" vertical="center"/>
    </xf>
    <xf numFmtId="10" fontId="77" fillId="0" borderId="79" xfId="0" applyNumberFormat="1" applyFont="1" applyBorder="1" applyAlignment="1">
      <alignment horizontal="right" vertical="center"/>
    </xf>
    <xf numFmtId="3" fontId="77" fillId="0" borderId="0" xfId="0" applyNumberFormat="1" applyFont="1" applyAlignment="1">
      <alignment horizontal="right" vertical="center"/>
    </xf>
    <xf numFmtId="10" fontId="77" fillId="0" borderId="0" xfId="0" applyNumberFormat="1" applyFont="1" applyAlignment="1">
      <alignment horizontal="right" vertical="center"/>
    </xf>
    <xf numFmtId="3" fontId="80" fillId="0" borderId="0" xfId="0" applyNumberFormat="1" applyFont="1" applyAlignment="1">
      <alignment horizontal="right" vertical="center"/>
    </xf>
    <xf numFmtId="10" fontId="80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right" vertical="center"/>
    </xf>
    <xf numFmtId="0" fontId="80" fillId="0" borderId="61" xfId="0" applyFont="1" applyBorder="1" applyAlignment="1">
      <alignment horizontal="right" vertical="center"/>
    </xf>
    <xf numFmtId="3" fontId="77" fillId="0" borderId="38" xfId="0" applyNumberFormat="1" applyFont="1" applyBorder="1" applyAlignment="1">
      <alignment horizontal="right" vertical="center"/>
    </xf>
    <xf numFmtId="0" fontId="80" fillId="0" borderId="0" xfId="0" applyFont="1" applyAlignment="1">
      <alignment vertical="center"/>
    </xf>
    <xf numFmtId="0" fontId="71" fillId="0" borderId="37" xfId="0" applyFont="1" applyBorder="1" applyAlignment="1">
      <alignment horizontal="center" vertical="center"/>
    </xf>
    <xf numFmtId="203" fontId="84" fillId="72" borderId="87" xfId="1716" applyNumberFormat="1" applyFont="1" applyFill="1" applyBorder="1" applyAlignment="1">
      <alignment horizontal="left" vertical="center"/>
    </xf>
    <xf numFmtId="203" fontId="84" fillId="72" borderId="53" xfId="1716" applyNumberFormat="1" applyFont="1" applyFill="1" applyBorder="1" applyAlignment="1">
      <alignment horizontal="left" vertical="center"/>
    </xf>
    <xf numFmtId="203" fontId="84" fillId="72" borderId="1" xfId="869" applyNumberFormat="1" applyFont="1" applyFill="1" applyBorder="1" applyAlignment="1">
      <alignment horizontal="center" vertical="center"/>
    </xf>
    <xf numFmtId="203" fontId="84" fillId="72" borderId="101" xfId="1716" applyNumberFormat="1" applyFont="1" applyFill="1" applyBorder="1" applyAlignment="1">
      <alignment horizontal="left" vertical="center"/>
    </xf>
    <xf numFmtId="203" fontId="84" fillId="72" borderId="102" xfId="1716" applyNumberFormat="1" applyFont="1" applyFill="1" applyBorder="1" applyAlignment="1">
      <alignment horizontal="left" vertical="center"/>
    </xf>
    <xf numFmtId="41" fontId="86" fillId="99" borderId="77" xfId="869" applyNumberFormat="1" applyFont="1" applyFill="1" applyBorder="1" applyAlignment="1">
      <alignment horizontal="center" vertical="center"/>
    </xf>
    <xf numFmtId="41" fontId="86" fillId="99" borderId="78" xfId="869" applyNumberFormat="1" applyFont="1" applyFill="1" applyBorder="1" applyAlignment="1">
      <alignment horizontal="center" vertical="center"/>
    </xf>
    <xf numFmtId="203" fontId="84" fillId="72" borderId="52" xfId="869" applyNumberFormat="1" applyFont="1" applyFill="1" applyBorder="1" applyAlignment="1">
      <alignment horizontal="center" vertical="center"/>
    </xf>
    <xf numFmtId="3" fontId="86" fillId="99" borderId="73" xfId="869" applyNumberFormat="1" applyFont="1" applyFill="1" applyBorder="1" applyAlignment="1">
      <alignment horizontal="center" vertical="center"/>
    </xf>
    <xf numFmtId="3" fontId="86" fillId="99" borderId="74" xfId="869" applyNumberFormat="1" applyFont="1" applyFill="1" applyBorder="1" applyAlignment="1">
      <alignment horizontal="center" vertical="center"/>
    </xf>
    <xf numFmtId="41" fontId="84" fillId="0" borderId="81" xfId="868" applyNumberFormat="1" applyFont="1" applyBorder="1" applyAlignment="1">
      <alignment horizontal="center"/>
    </xf>
    <xf numFmtId="0" fontId="89" fillId="100" borderId="95" xfId="1699" applyFont="1" applyFill="1" applyBorder="1" applyAlignment="1">
      <alignment horizontal="left" vertical="center"/>
    </xf>
    <xf numFmtId="0" fontId="89" fillId="100" borderId="96" xfId="1699" applyFont="1" applyFill="1" applyBorder="1" applyAlignment="1">
      <alignment horizontal="left" vertical="center"/>
    </xf>
    <xf numFmtId="0" fontId="84" fillId="96" borderId="63" xfId="0" applyFont="1" applyFill="1" applyBorder="1" applyAlignment="1">
      <alignment horizontal="center" vertical="center"/>
    </xf>
    <xf numFmtId="0" fontId="84" fillId="96" borderId="64" xfId="0" applyFont="1" applyFill="1" applyBorder="1" applyAlignment="1">
      <alignment horizontal="center" vertical="center"/>
    </xf>
    <xf numFmtId="0" fontId="80" fillId="0" borderId="61" xfId="0" applyFont="1" applyBorder="1" applyAlignment="1">
      <alignment horizontal="center"/>
    </xf>
    <xf numFmtId="0" fontId="71" fillId="0" borderId="61" xfId="0" applyFont="1" applyBorder="1" applyAlignment="1">
      <alignment horizontal="center" vertical="center"/>
    </xf>
    <xf numFmtId="0" fontId="71" fillId="0" borderId="61" xfId="0" applyFont="1" applyBorder="1" applyAlignment="1">
      <alignment horizontal="center"/>
    </xf>
    <xf numFmtId="0" fontId="72" fillId="0" borderId="61" xfId="0" applyFont="1" applyBorder="1" applyAlignment="1">
      <alignment horizontal="center" vertical="center"/>
    </xf>
    <xf numFmtId="203" fontId="71" fillId="0" borderId="61" xfId="0" applyNumberFormat="1" applyFont="1" applyBorder="1" applyAlignment="1">
      <alignment horizontal="right" vertical="center"/>
    </xf>
    <xf numFmtId="0" fontId="71" fillId="0" borderId="61" xfId="0" applyFont="1" applyBorder="1"/>
  </cellXfs>
  <cellStyles count="1780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667" xr:uid="{00000000-0005-0000-0000-000003000000}"/>
    <cellStyle name="0,0_x000d__x000a_NA_x000d__x000a_ 2 3" xfId="1666" xr:uid="{00000000-0005-0000-0000-000004000000}"/>
    <cellStyle name="0,0_x000d__x000a_NA_x000d__x000a_ 3" xfId="4" xr:uid="{00000000-0005-0000-0000-000005000000}"/>
    <cellStyle name="0,0_x000d__x000a_NA_x000d__x000a_ 3 2" xfId="1668" xr:uid="{00000000-0005-0000-0000-000006000000}"/>
    <cellStyle name="0,0_x000d__x000a_NA_x000d__x000a_ 4" xfId="1665" xr:uid="{00000000-0005-0000-0000-000007000000}"/>
    <cellStyle name="20% - Accent1" xfId="11" xr:uid="{00000000-0005-0000-0000-000008000000}"/>
    <cellStyle name="20% - Accent2" xfId="14" xr:uid="{00000000-0005-0000-0000-000009000000}"/>
    <cellStyle name="20% - Accent3" xfId="17" xr:uid="{00000000-0005-0000-0000-00000A000000}"/>
    <cellStyle name="20% - Accent4" xfId="20" xr:uid="{00000000-0005-0000-0000-00000B000000}"/>
    <cellStyle name="20% - Accent5" xfId="23" xr:uid="{00000000-0005-0000-0000-00000C000000}"/>
    <cellStyle name="20% - Accent6" xfId="26" xr:uid="{00000000-0005-0000-0000-00000D000000}"/>
    <cellStyle name="20% - akcent 1" xfId="5" xr:uid="{00000000-0005-0000-0000-00000E000000}"/>
    <cellStyle name="20% - akcent 2" xfId="6" xr:uid="{00000000-0005-0000-0000-00000F000000}"/>
    <cellStyle name="20% - akcent 3" xfId="7" xr:uid="{00000000-0005-0000-0000-000010000000}"/>
    <cellStyle name="20% - akcent 4" xfId="8" xr:uid="{00000000-0005-0000-0000-000011000000}"/>
    <cellStyle name="20% - akcent 5" xfId="9" xr:uid="{00000000-0005-0000-0000-000012000000}"/>
    <cellStyle name="20% - akcent 6" xfId="10" xr:uid="{00000000-0005-0000-0000-000013000000}"/>
    <cellStyle name="20% - Énfasis1 2" xfId="12" xr:uid="{00000000-0005-0000-0000-000014000000}"/>
    <cellStyle name="20% - Énfasis1 2 2" xfId="13" xr:uid="{00000000-0005-0000-0000-000015000000}"/>
    <cellStyle name="20% - Énfasis1 2 3" xfId="1669" xr:uid="{00000000-0005-0000-0000-000016000000}"/>
    <cellStyle name="20% - Énfasis2 2" xfId="15" xr:uid="{00000000-0005-0000-0000-000017000000}"/>
    <cellStyle name="20% - Énfasis2 2 2" xfId="16" xr:uid="{00000000-0005-0000-0000-000018000000}"/>
    <cellStyle name="20% - Énfasis2 2 3" xfId="1670" xr:uid="{00000000-0005-0000-0000-000019000000}"/>
    <cellStyle name="20% - Énfasis3 2" xfId="18" xr:uid="{00000000-0005-0000-0000-00001A000000}"/>
    <cellStyle name="20% - Énfasis3 2 2" xfId="19" xr:uid="{00000000-0005-0000-0000-00001B000000}"/>
    <cellStyle name="20% - Énfasis3 2 3" xfId="1671" xr:uid="{00000000-0005-0000-0000-00001C000000}"/>
    <cellStyle name="20% - Énfasis4 2" xfId="21" xr:uid="{00000000-0005-0000-0000-00001D000000}"/>
    <cellStyle name="20% - Énfasis4 2 2" xfId="22" xr:uid="{00000000-0005-0000-0000-00001E000000}"/>
    <cellStyle name="20% - Énfasis4 2 3" xfId="1672" xr:uid="{00000000-0005-0000-0000-00001F000000}"/>
    <cellStyle name="20% - Énfasis5 2" xfId="24" xr:uid="{00000000-0005-0000-0000-000020000000}"/>
    <cellStyle name="20% - Énfasis5 2 2" xfId="25" xr:uid="{00000000-0005-0000-0000-000021000000}"/>
    <cellStyle name="20% - Énfasis5 2 3" xfId="1673" xr:uid="{00000000-0005-0000-0000-000022000000}"/>
    <cellStyle name="20% - Énfasis6 2" xfId="27" xr:uid="{00000000-0005-0000-0000-000023000000}"/>
    <cellStyle name="20% - Énfasis6 2 2" xfId="28" xr:uid="{00000000-0005-0000-0000-000024000000}"/>
    <cellStyle name="20% - Énfasis6 2 3" xfId="1674" xr:uid="{00000000-0005-0000-0000-000025000000}"/>
    <cellStyle name="40% - Accent1" xfId="35" xr:uid="{00000000-0005-0000-0000-000026000000}"/>
    <cellStyle name="40% - Accent2" xfId="38" xr:uid="{00000000-0005-0000-0000-000027000000}"/>
    <cellStyle name="40% - Accent3" xfId="41" xr:uid="{00000000-0005-0000-0000-000028000000}"/>
    <cellStyle name="40% - Accent4" xfId="44" xr:uid="{00000000-0005-0000-0000-000029000000}"/>
    <cellStyle name="40% - Accent5" xfId="47" xr:uid="{00000000-0005-0000-0000-00002A000000}"/>
    <cellStyle name="40% - Accent6" xfId="50" xr:uid="{00000000-0005-0000-0000-00002B000000}"/>
    <cellStyle name="40% - akcent 1" xfId="29" xr:uid="{00000000-0005-0000-0000-00002C000000}"/>
    <cellStyle name="40% - akcent 2" xfId="30" xr:uid="{00000000-0005-0000-0000-00002D000000}"/>
    <cellStyle name="40% - akcent 3" xfId="31" xr:uid="{00000000-0005-0000-0000-00002E000000}"/>
    <cellStyle name="40% - akcent 4" xfId="32" xr:uid="{00000000-0005-0000-0000-00002F000000}"/>
    <cellStyle name="40% - akcent 5" xfId="33" xr:uid="{00000000-0005-0000-0000-000030000000}"/>
    <cellStyle name="40% - akcent 6" xfId="34" xr:uid="{00000000-0005-0000-0000-000031000000}"/>
    <cellStyle name="40% - Énfasis1 2" xfId="36" xr:uid="{00000000-0005-0000-0000-000032000000}"/>
    <cellStyle name="40% - Énfasis1 2 2" xfId="37" xr:uid="{00000000-0005-0000-0000-000033000000}"/>
    <cellStyle name="40% - Énfasis1 2 3" xfId="1675" xr:uid="{00000000-0005-0000-0000-000034000000}"/>
    <cellStyle name="40% - Énfasis2 2" xfId="39" xr:uid="{00000000-0005-0000-0000-000035000000}"/>
    <cellStyle name="40% - Énfasis2 2 2" xfId="40" xr:uid="{00000000-0005-0000-0000-000036000000}"/>
    <cellStyle name="40% - Énfasis2 2 3" xfId="1676" xr:uid="{00000000-0005-0000-0000-000037000000}"/>
    <cellStyle name="40% - Énfasis3 2" xfId="42" xr:uid="{00000000-0005-0000-0000-000038000000}"/>
    <cellStyle name="40% - Énfasis3 2 2" xfId="43" xr:uid="{00000000-0005-0000-0000-000039000000}"/>
    <cellStyle name="40% - Énfasis3 2 3" xfId="1677" xr:uid="{00000000-0005-0000-0000-00003A000000}"/>
    <cellStyle name="40% - Énfasis4 2" xfId="45" xr:uid="{00000000-0005-0000-0000-00003B000000}"/>
    <cellStyle name="40% - Énfasis4 2 2" xfId="46" xr:uid="{00000000-0005-0000-0000-00003C000000}"/>
    <cellStyle name="40% - Énfasis4 2 3" xfId="1678" xr:uid="{00000000-0005-0000-0000-00003D000000}"/>
    <cellStyle name="40% - Énfasis5 2" xfId="48" xr:uid="{00000000-0005-0000-0000-00003E000000}"/>
    <cellStyle name="40% - Énfasis5 2 2" xfId="49" xr:uid="{00000000-0005-0000-0000-00003F000000}"/>
    <cellStyle name="40% - Énfasis5 2 3" xfId="1679" xr:uid="{00000000-0005-0000-0000-000040000000}"/>
    <cellStyle name="40% - Énfasis6 2" xfId="51" xr:uid="{00000000-0005-0000-0000-000041000000}"/>
    <cellStyle name="40% - Énfasis6 2 2" xfId="52" xr:uid="{00000000-0005-0000-0000-000042000000}"/>
    <cellStyle name="40% - Énfasis6 2 3" xfId="1680" xr:uid="{00000000-0005-0000-0000-000043000000}"/>
    <cellStyle name="60% - Accent1" xfId="59" xr:uid="{00000000-0005-0000-0000-000044000000}"/>
    <cellStyle name="60% - Accent2" xfId="61" xr:uid="{00000000-0005-0000-0000-000045000000}"/>
    <cellStyle name="60% - Accent3" xfId="63" xr:uid="{00000000-0005-0000-0000-000046000000}"/>
    <cellStyle name="60% - Accent4" xfId="65" xr:uid="{00000000-0005-0000-0000-000047000000}"/>
    <cellStyle name="60% - Accent5" xfId="67" xr:uid="{00000000-0005-0000-0000-000048000000}"/>
    <cellStyle name="60% - Accent6" xfId="69" xr:uid="{00000000-0005-0000-0000-000049000000}"/>
    <cellStyle name="60% - akcent 1" xfId="53" xr:uid="{00000000-0005-0000-0000-00004A000000}"/>
    <cellStyle name="60% - akcent 2" xfId="54" xr:uid="{00000000-0005-0000-0000-00004B000000}"/>
    <cellStyle name="60% - akcent 3" xfId="55" xr:uid="{00000000-0005-0000-0000-00004C000000}"/>
    <cellStyle name="60% - akcent 4" xfId="56" xr:uid="{00000000-0005-0000-0000-00004D000000}"/>
    <cellStyle name="60% - akcent 5" xfId="57" xr:uid="{00000000-0005-0000-0000-00004E000000}"/>
    <cellStyle name="60% - akcent 6" xfId="58" xr:uid="{00000000-0005-0000-0000-00004F000000}"/>
    <cellStyle name="60% - Énfasis1 2 2" xfId="60" xr:uid="{00000000-0005-0000-0000-000050000000}"/>
    <cellStyle name="60% - Énfasis2 2 2" xfId="62" xr:uid="{00000000-0005-0000-0000-000051000000}"/>
    <cellStyle name="60% - Énfasis3 2 2" xfId="64" xr:uid="{00000000-0005-0000-0000-000052000000}"/>
    <cellStyle name="60% - Énfasis4 2 2" xfId="66" xr:uid="{00000000-0005-0000-0000-000053000000}"/>
    <cellStyle name="60% - Énfasis5 2 2" xfId="68" xr:uid="{00000000-0005-0000-0000-000054000000}"/>
    <cellStyle name="60% - Énfasis6 2 2" xfId="70" xr:uid="{00000000-0005-0000-0000-000055000000}"/>
    <cellStyle name="Accent1" xfId="555" xr:uid="{00000000-0005-0000-0000-000056000000}"/>
    <cellStyle name="Accent1 - 20%" xfId="71" xr:uid="{00000000-0005-0000-0000-000057000000}"/>
    <cellStyle name="Accent1 - 20% 10" xfId="72" xr:uid="{00000000-0005-0000-0000-000058000000}"/>
    <cellStyle name="Accent1 - 20% 11" xfId="73" xr:uid="{00000000-0005-0000-0000-000059000000}"/>
    <cellStyle name="Accent1 - 20% 12" xfId="74" xr:uid="{00000000-0005-0000-0000-00005A000000}"/>
    <cellStyle name="Accent1 - 20% 13" xfId="75" xr:uid="{00000000-0005-0000-0000-00005B000000}"/>
    <cellStyle name="Accent1 - 20% 2" xfId="76" xr:uid="{00000000-0005-0000-0000-00005C000000}"/>
    <cellStyle name="Accent1 - 20% 2 2" xfId="77" xr:uid="{00000000-0005-0000-0000-00005D000000}"/>
    <cellStyle name="Accent1 - 20% 2 2 2" xfId="78" xr:uid="{00000000-0005-0000-0000-00005E000000}"/>
    <cellStyle name="Accent1 - 20% 3" xfId="79" xr:uid="{00000000-0005-0000-0000-00005F000000}"/>
    <cellStyle name="Accent1 - 20% 3 2" xfId="80" xr:uid="{00000000-0005-0000-0000-000060000000}"/>
    <cellStyle name="Accent1 - 20% 4" xfId="81" xr:uid="{00000000-0005-0000-0000-000061000000}"/>
    <cellStyle name="Accent1 - 20% 4 2" xfId="82" xr:uid="{00000000-0005-0000-0000-000062000000}"/>
    <cellStyle name="Accent1 - 20% 5" xfId="83" xr:uid="{00000000-0005-0000-0000-000063000000}"/>
    <cellStyle name="Accent1 - 20% 5 2" xfId="84" xr:uid="{00000000-0005-0000-0000-000064000000}"/>
    <cellStyle name="Accent1 - 20% 6" xfId="85" xr:uid="{00000000-0005-0000-0000-000065000000}"/>
    <cellStyle name="Accent1 - 20% 6 2" xfId="86" xr:uid="{00000000-0005-0000-0000-000066000000}"/>
    <cellStyle name="Accent1 - 20% 7" xfId="87" xr:uid="{00000000-0005-0000-0000-000067000000}"/>
    <cellStyle name="Accent1 - 20% 8" xfId="88" xr:uid="{00000000-0005-0000-0000-000068000000}"/>
    <cellStyle name="Accent1 - 20% 9" xfId="89" xr:uid="{00000000-0005-0000-0000-000069000000}"/>
    <cellStyle name="Accent1 - 20%_Combinación de negocios - AA-IAMv3" xfId="90" xr:uid="{00000000-0005-0000-0000-00006A000000}"/>
    <cellStyle name="Accent1 - 40%" xfId="91" xr:uid="{00000000-0005-0000-0000-00006B000000}"/>
    <cellStyle name="Accent1 - 40% 10" xfId="92" xr:uid="{00000000-0005-0000-0000-00006C000000}"/>
    <cellStyle name="Accent1 - 40% 11" xfId="93" xr:uid="{00000000-0005-0000-0000-00006D000000}"/>
    <cellStyle name="Accent1 - 40% 12" xfId="94" xr:uid="{00000000-0005-0000-0000-00006E000000}"/>
    <cellStyle name="Accent1 - 40% 13" xfId="95" xr:uid="{00000000-0005-0000-0000-00006F000000}"/>
    <cellStyle name="Accent1 - 40% 2" xfId="96" xr:uid="{00000000-0005-0000-0000-000070000000}"/>
    <cellStyle name="Accent1 - 40% 2 2" xfId="97" xr:uid="{00000000-0005-0000-0000-000071000000}"/>
    <cellStyle name="Accent1 - 40% 2 2 2" xfId="98" xr:uid="{00000000-0005-0000-0000-000072000000}"/>
    <cellStyle name="Accent1 - 40% 3" xfId="99" xr:uid="{00000000-0005-0000-0000-000073000000}"/>
    <cellStyle name="Accent1 - 40% 3 2" xfId="100" xr:uid="{00000000-0005-0000-0000-000074000000}"/>
    <cellStyle name="Accent1 - 40% 4" xfId="101" xr:uid="{00000000-0005-0000-0000-000075000000}"/>
    <cellStyle name="Accent1 - 40% 4 2" xfId="102" xr:uid="{00000000-0005-0000-0000-000076000000}"/>
    <cellStyle name="Accent1 - 40% 5" xfId="103" xr:uid="{00000000-0005-0000-0000-000077000000}"/>
    <cellStyle name="Accent1 - 40% 5 2" xfId="104" xr:uid="{00000000-0005-0000-0000-000078000000}"/>
    <cellStyle name="Accent1 - 40% 6" xfId="105" xr:uid="{00000000-0005-0000-0000-000079000000}"/>
    <cellStyle name="Accent1 - 40% 6 2" xfId="106" xr:uid="{00000000-0005-0000-0000-00007A000000}"/>
    <cellStyle name="Accent1 - 40% 7" xfId="107" xr:uid="{00000000-0005-0000-0000-00007B000000}"/>
    <cellStyle name="Accent1 - 40% 8" xfId="108" xr:uid="{00000000-0005-0000-0000-00007C000000}"/>
    <cellStyle name="Accent1 - 40% 9" xfId="109" xr:uid="{00000000-0005-0000-0000-00007D000000}"/>
    <cellStyle name="Accent1 - 40%_Combinación de negocios - AA-IAMv3" xfId="110" xr:uid="{00000000-0005-0000-0000-00007E000000}"/>
    <cellStyle name="Accent1 - 60%" xfId="111" xr:uid="{00000000-0005-0000-0000-00007F000000}"/>
    <cellStyle name="Accent1 - 60% 10" xfId="112" xr:uid="{00000000-0005-0000-0000-000080000000}"/>
    <cellStyle name="Accent1 - 60% 11" xfId="113" xr:uid="{00000000-0005-0000-0000-000081000000}"/>
    <cellStyle name="Accent1 - 60% 2" xfId="114" xr:uid="{00000000-0005-0000-0000-000082000000}"/>
    <cellStyle name="Accent1 - 60% 2 2" xfId="115" xr:uid="{00000000-0005-0000-0000-000083000000}"/>
    <cellStyle name="Accent1 - 60% 2 2 2" xfId="116" xr:uid="{00000000-0005-0000-0000-000084000000}"/>
    <cellStyle name="Accent1 - 60% 3" xfId="117" xr:uid="{00000000-0005-0000-0000-000085000000}"/>
    <cellStyle name="Accent1 - 60% 4" xfId="118" xr:uid="{00000000-0005-0000-0000-000086000000}"/>
    <cellStyle name="Accent1 - 60% 5" xfId="119" xr:uid="{00000000-0005-0000-0000-000087000000}"/>
    <cellStyle name="Accent1 - 60% 6" xfId="120" xr:uid="{00000000-0005-0000-0000-000088000000}"/>
    <cellStyle name="Accent1 - 60% 7" xfId="121" xr:uid="{00000000-0005-0000-0000-000089000000}"/>
    <cellStyle name="Accent1 - 60% 8" xfId="122" xr:uid="{00000000-0005-0000-0000-00008A000000}"/>
    <cellStyle name="Accent1 - 60% 9" xfId="123" xr:uid="{00000000-0005-0000-0000-00008B000000}"/>
    <cellStyle name="Accent2" xfId="581" xr:uid="{00000000-0005-0000-0000-00008C000000}"/>
    <cellStyle name="Accent2 - 20%" xfId="124" xr:uid="{00000000-0005-0000-0000-00008D000000}"/>
    <cellStyle name="Accent2 - 20% 10" xfId="125" xr:uid="{00000000-0005-0000-0000-00008E000000}"/>
    <cellStyle name="Accent2 - 20% 11" xfId="126" xr:uid="{00000000-0005-0000-0000-00008F000000}"/>
    <cellStyle name="Accent2 - 20% 12" xfId="127" xr:uid="{00000000-0005-0000-0000-000090000000}"/>
    <cellStyle name="Accent2 - 20% 13" xfId="128" xr:uid="{00000000-0005-0000-0000-000091000000}"/>
    <cellStyle name="Accent2 - 20% 2" xfId="129" xr:uid="{00000000-0005-0000-0000-000092000000}"/>
    <cellStyle name="Accent2 - 20% 2 2" xfId="130" xr:uid="{00000000-0005-0000-0000-000093000000}"/>
    <cellStyle name="Accent2 - 20% 2 2 2" xfId="131" xr:uid="{00000000-0005-0000-0000-000094000000}"/>
    <cellStyle name="Accent2 - 20% 3" xfId="132" xr:uid="{00000000-0005-0000-0000-000095000000}"/>
    <cellStyle name="Accent2 - 20% 3 2" xfId="133" xr:uid="{00000000-0005-0000-0000-000096000000}"/>
    <cellStyle name="Accent2 - 20% 4" xfId="134" xr:uid="{00000000-0005-0000-0000-000097000000}"/>
    <cellStyle name="Accent2 - 20% 4 2" xfId="135" xr:uid="{00000000-0005-0000-0000-000098000000}"/>
    <cellStyle name="Accent2 - 20% 5" xfId="136" xr:uid="{00000000-0005-0000-0000-000099000000}"/>
    <cellStyle name="Accent2 - 20% 5 2" xfId="137" xr:uid="{00000000-0005-0000-0000-00009A000000}"/>
    <cellStyle name="Accent2 - 20% 6" xfId="138" xr:uid="{00000000-0005-0000-0000-00009B000000}"/>
    <cellStyle name="Accent2 - 20% 6 2" xfId="139" xr:uid="{00000000-0005-0000-0000-00009C000000}"/>
    <cellStyle name="Accent2 - 20% 7" xfId="140" xr:uid="{00000000-0005-0000-0000-00009D000000}"/>
    <cellStyle name="Accent2 - 20% 8" xfId="141" xr:uid="{00000000-0005-0000-0000-00009E000000}"/>
    <cellStyle name="Accent2 - 20% 9" xfId="142" xr:uid="{00000000-0005-0000-0000-00009F000000}"/>
    <cellStyle name="Accent2 - 20%_Combinación de negocios - AA-IAMv3" xfId="143" xr:uid="{00000000-0005-0000-0000-0000A0000000}"/>
    <cellStyle name="Accent2 - 40%" xfId="144" xr:uid="{00000000-0005-0000-0000-0000A1000000}"/>
    <cellStyle name="Accent2 - 40% 10" xfId="145" xr:uid="{00000000-0005-0000-0000-0000A2000000}"/>
    <cellStyle name="Accent2 - 40% 11" xfId="146" xr:uid="{00000000-0005-0000-0000-0000A3000000}"/>
    <cellStyle name="Accent2 - 40% 12" xfId="147" xr:uid="{00000000-0005-0000-0000-0000A4000000}"/>
    <cellStyle name="Accent2 - 40% 13" xfId="148" xr:uid="{00000000-0005-0000-0000-0000A5000000}"/>
    <cellStyle name="Accent2 - 40% 2" xfId="149" xr:uid="{00000000-0005-0000-0000-0000A6000000}"/>
    <cellStyle name="Accent2 - 40% 2 2" xfId="150" xr:uid="{00000000-0005-0000-0000-0000A7000000}"/>
    <cellStyle name="Accent2 - 40% 2 2 2" xfId="151" xr:uid="{00000000-0005-0000-0000-0000A8000000}"/>
    <cellStyle name="Accent2 - 40% 3" xfId="152" xr:uid="{00000000-0005-0000-0000-0000A9000000}"/>
    <cellStyle name="Accent2 - 40% 3 2" xfId="153" xr:uid="{00000000-0005-0000-0000-0000AA000000}"/>
    <cellStyle name="Accent2 - 40% 4" xfId="154" xr:uid="{00000000-0005-0000-0000-0000AB000000}"/>
    <cellStyle name="Accent2 - 40% 4 2" xfId="155" xr:uid="{00000000-0005-0000-0000-0000AC000000}"/>
    <cellStyle name="Accent2 - 40% 5" xfId="156" xr:uid="{00000000-0005-0000-0000-0000AD000000}"/>
    <cellStyle name="Accent2 - 40% 5 2" xfId="157" xr:uid="{00000000-0005-0000-0000-0000AE000000}"/>
    <cellStyle name="Accent2 - 40% 6" xfId="158" xr:uid="{00000000-0005-0000-0000-0000AF000000}"/>
    <cellStyle name="Accent2 - 40% 6 2" xfId="159" xr:uid="{00000000-0005-0000-0000-0000B0000000}"/>
    <cellStyle name="Accent2 - 40% 7" xfId="160" xr:uid="{00000000-0005-0000-0000-0000B1000000}"/>
    <cellStyle name="Accent2 - 40% 8" xfId="161" xr:uid="{00000000-0005-0000-0000-0000B2000000}"/>
    <cellStyle name="Accent2 - 40% 9" xfId="162" xr:uid="{00000000-0005-0000-0000-0000B3000000}"/>
    <cellStyle name="Accent2 - 40%_Combinación de negocios - AA-IAMv3" xfId="163" xr:uid="{00000000-0005-0000-0000-0000B4000000}"/>
    <cellStyle name="Accent2 - 60%" xfId="164" xr:uid="{00000000-0005-0000-0000-0000B5000000}"/>
    <cellStyle name="Accent2 - 60% 10" xfId="165" xr:uid="{00000000-0005-0000-0000-0000B6000000}"/>
    <cellStyle name="Accent2 - 60% 11" xfId="166" xr:uid="{00000000-0005-0000-0000-0000B7000000}"/>
    <cellStyle name="Accent2 - 60% 2" xfId="167" xr:uid="{00000000-0005-0000-0000-0000B8000000}"/>
    <cellStyle name="Accent2 - 60% 2 2" xfId="168" xr:uid="{00000000-0005-0000-0000-0000B9000000}"/>
    <cellStyle name="Accent2 - 60% 2 2 2" xfId="169" xr:uid="{00000000-0005-0000-0000-0000BA000000}"/>
    <cellStyle name="Accent2 - 60% 3" xfId="170" xr:uid="{00000000-0005-0000-0000-0000BB000000}"/>
    <cellStyle name="Accent2 - 60% 4" xfId="171" xr:uid="{00000000-0005-0000-0000-0000BC000000}"/>
    <cellStyle name="Accent2 - 60% 5" xfId="172" xr:uid="{00000000-0005-0000-0000-0000BD000000}"/>
    <cellStyle name="Accent2 - 60% 6" xfId="173" xr:uid="{00000000-0005-0000-0000-0000BE000000}"/>
    <cellStyle name="Accent2 - 60% 7" xfId="174" xr:uid="{00000000-0005-0000-0000-0000BF000000}"/>
    <cellStyle name="Accent2 - 60% 8" xfId="175" xr:uid="{00000000-0005-0000-0000-0000C0000000}"/>
    <cellStyle name="Accent2 - 60% 9" xfId="176" xr:uid="{00000000-0005-0000-0000-0000C1000000}"/>
    <cellStyle name="Accent3" xfId="607" xr:uid="{00000000-0005-0000-0000-0000C2000000}"/>
    <cellStyle name="Accent3 - 20%" xfId="177" xr:uid="{00000000-0005-0000-0000-0000C3000000}"/>
    <cellStyle name="Accent3 - 20% 10" xfId="178" xr:uid="{00000000-0005-0000-0000-0000C4000000}"/>
    <cellStyle name="Accent3 - 20% 11" xfId="179" xr:uid="{00000000-0005-0000-0000-0000C5000000}"/>
    <cellStyle name="Accent3 - 20% 12" xfId="180" xr:uid="{00000000-0005-0000-0000-0000C6000000}"/>
    <cellStyle name="Accent3 - 20% 13" xfId="181" xr:uid="{00000000-0005-0000-0000-0000C7000000}"/>
    <cellStyle name="Accent3 - 20% 2" xfId="182" xr:uid="{00000000-0005-0000-0000-0000C8000000}"/>
    <cellStyle name="Accent3 - 20% 2 2" xfId="183" xr:uid="{00000000-0005-0000-0000-0000C9000000}"/>
    <cellStyle name="Accent3 - 20% 2 2 2" xfId="184" xr:uid="{00000000-0005-0000-0000-0000CA000000}"/>
    <cellStyle name="Accent3 - 20% 3" xfId="185" xr:uid="{00000000-0005-0000-0000-0000CB000000}"/>
    <cellStyle name="Accent3 - 20% 3 2" xfId="186" xr:uid="{00000000-0005-0000-0000-0000CC000000}"/>
    <cellStyle name="Accent3 - 20% 4" xfId="187" xr:uid="{00000000-0005-0000-0000-0000CD000000}"/>
    <cellStyle name="Accent3 - 20% 4 2" xfId="188" xr:uid="{00000000-0005-0000-0000-0000CE000000}"/>
    <cellStyle name="Accent3 - 20% 5" xfId="189" xr:uid="{00000000-0005-0000-0000-0000CF000000}"/>
    <cellStyle name="Accent3 - 20% 5 2" xfId="190" xr:uid="{00000000-0005-0000-0000-0000D0000000}"/>
    <cellStyle name="Accent3 - 20% 6" xfId="191" xr:uid="{00000000-0005-0000-0000-0000D1000000}"/>
    <cellStyle name="Accent3 - 20% 6 2" xfId="192" xr:uid="{00000000-0005-0000-0000-0000D2000000}"/>
    <cellStyle name="Accent3 - 20% 7" xfId="193" xr:uid="{00000000-0005-0000-0000-0000D3000000}"/>
    <cellStyle name="Accent3 - 20% 8" xfId="194" xr:uid="{00000000-0005-0000-0000-0000D4000000}"/>
    <cellStyle name="Accent3 - 20% 9" xfId="195" xr:uid="{00000000-0005-0000-0000-0000D5000000}"/>
    <cellStyle name="Accent3 - 20%_Combinación de negocios - AA-IAMv3" xfId="196" xr:uid="{00000000-0005-0000-0000-0000D6000000}"/>
    <cellStyle name="Accent3 - 40%" xfId="197" xr:uid="{00000000-0005-0000-0000-0000D7000000}"/>
    <cellStyle name="Accent3 - 40% 10" xfId="198" xr:uid="{00000000-0005-0000-0000-0000D8000000}"/>
    <cellStyle name="Accent3 - 40% 11" xfId="199" xr:uid="{00000000-0005-0000-0000-0000D9000000}"/>
    <cellStyle name="Accent3 - 40% 12" xfId="200" xr:uid="{00000000-0005-0000-0000-0000DA000000}"/>
    <cellStyle name="Accent3 - 40% 13" xfId="201" xr:uid="{00000000-0005-0000-0000-0000DB000000}"/>
    <cellStyle name="Accent3 - 40% 2" xfId="202" xr:uid="{00000000-0005-0000-0000-0000DC000000}"/>
    <cellStyle name="Accent3 - 40% 2 2" xfId="203" xr:uid="{00000000-0005-0000-0000-0000DD000000}"/>
    <cellStyle name="Accent3 - 40% 2 2 2" xfId="204" xr:uid="{00000000-0005-0000-0000-0000DE000000}"/>
    <cellStyle name="Accent3 - 40% 3" xfId="205" xr:uid="{00000000-0005-0000-0000-0000DF000000}"/>
    <cellStyle name="Accent3 - 40% 3 2" xfId="206" xr:uid="{00000000-0005-0000-0000-0000E0000000}"/>
    <cellStyle name="Accent3 - 40% 4" xfId="207" xr:uid="{00000000-0005-0000-0000-0000E1000000}"/>
    <cellStyle name="Accent3 - 40% 4 2" xfId="208" xr:uid="{00000000-0005-0000-0000-0000E2000000}"/>
    <cellStyle name="Accent3 - 40% 5" xfId="209" xr:uid="{00000000-0005-0000-0000-0000E3000000}"/>
    <cellStyle name="Accent3 - 40% 5 2" xfId="210" xr:uid="{00000000-0005-0000-0000-0000E4000000}"/>
    <cellStyle name="Accent3 - 40% 6" xfId="211" xr:uid="{00000000-0005-0000-0000-0000E5000000}"/>
    <cellStyle name="Accent3 - 40% 6 2" xfId="212" xr:uid="{00000000-0005-0000-0000-0000E6000000}"/>
    <cellStyle name="Accent3 - 40% 7" xfId="213" xr:uid="{00000000-0005-0000-0000-0000E7000000}"/>
    <cellStyle name="Accent3 - 40% 8" xfId="214" xr:uid="{00000000-0005-0000-0000-0000E8000000}"/>
    <cellStyle name="Accent3 - 40% 9" xfId="215" xr:uid="{00000000-0005-0000-0000-0000E9000000}"/>
    <cellStyle name="Accent3 - 40%_Combinación de negocios - AA-IAMv3" xfId="216" xr:uid="{00000000-0005-0000-0000-0000EA000000}"/>
    <cellStyle name="Accent3 - 60%" xfId="217" xr:uid="{00000000-0005-0000-0000-0000EB000000}"/>
    <cellStyle name="Accent3 - 60% 10" xfId="218" xr:uid="{00000000-0005-0000-0000-0000EC000000}"/>
    <cellStyle name="Accent3 - 60% 11" xfId="219" xr:uid="{00000000-0005-0000-0000-0000ED000000}"/>
    <cellStyle name="Accent3 - 60% 2" xfId="220" xr:uid="{00000000-0005-0000-0000-0000EE000000}"/>
    <cellStyle name="Accent3 - 60% 2 2" xfId="221" xr:uid="{00000000-0005-0000-0000-0000EF000000}"/>
    <cellStyle name="Accent3 - 60% 2 2 2" xfId="222" xr:uid="{00000000-0005-0000-0000-0000F0000000}"/>
    <cellStyle name="Accent3 - 60% 3" xfId="223" xr:uid="{00000000-0005-0000-0000-0000F1000000}"/>
    <cellStyle name="Accent3 - 60% 4" xfId="224" xr:uid="{00000000-0005-0000-0000-0000F2000000}"/>
    <cellStyle name="Accent3 - 60% 5" xfId="225" xr:uid="{00000000-0005-0000-0000-0000F3000000}"/>
    <cellStyle name="Accent3 - 60% 6" xfId="226" xr:uid="{00000000-0005-0000-0000-0000F4000000}"/>
    <cellStyle name="Accent3 - 60% 7" xfId="227" xr:uid="{00000000-0005-0000-0000-0000F5000000}"/>
    <cellStyle name="Accent3 - 60% 8" xfId="228" xr:uid="{00000000-0005-0000-0000-0000F6000000}"/>
    <cellStyle name="Accent3 - 60% 9" xfId="229" xr:uid="{00000000-0005-0000-0000-0000F7000000}"/>
    <cellStyle name="Accent4" xfId="634" xr:uid="{00000000-0005-0000-0000-0000F8000000}"/>
    <cellStyle name="Accent4 - 20%" xfId="230" xr:uid="{00000000-0005-0000-0000-0000F9000000}"/>
    <cellStyle name="Accent4 - 20% 10" xfId="231" xr:uid="{00000000-0005-0000-0000-0000FA000000}"/>
    <cellStyle name="Accent4 - 20% 11" xfId="232" xr:uid="{00000000-0005-0000-0000-0000FB000000}"/>
    <cellStyle name="Accent4 - 20% 12" xfId="233" xr:uid="{00000000-0005-0000-0000-0000FC000000}"/>
    <cellStyle name="Accent4 - 20% 13" xfId="234" xr:uid="{00000000-0005-0000-0000-0000FD000000}"/>
    <cellStyle name="Accent4 - 20% 2" xfId="235" xr:uid="{00000000-0005-0000-0000-0000FE000000}"/>
    <cellStyle name="Accent4 - 20% 2 2" xfId="236" xr:uid="{00000000-0005-0000-0000-0000FF000000}"/>
    <cellStyle name="Accent4 - 20% 2 2 2" xfId="237" xr:uid="{00000000-0005-0000-0000-000000010000}"/>
    <cellStyle name="Accent4 - 20% 3" xfId="238" xr:uid="{00000000-0005-0000-0000-000001010000}"/>
    <cellStyle name="Accent4 - 20% 3 2" xfId="239" xr:uid="{00000000-0005-0000-0000-000002010000}"/>
    <cellStyle name="Accent4 - 20% 4" xfId="240" xr:uid="{00000000-0005-0000-0000-000003010000}"/>
    <cellStyle name="Accent4 - 20% 4 2" xfId="241" xr:uid="{00000000-0005-0000-0000-000004010000}"/>
    <cellStyle name="Accent4 - 20% 5" xfId="242" xr:uid="{00000000-0005-0000-0000-000005010000}"/>
    <cellStyle name="Accent4 - 20% 5 2" xfId="243" xr:uid="{00000000-0005-0000-0000-000006010000}"/>
    <cellStyle name="Accent4 - 20% 6" xfId="244" xr:uid="{00000000-0005-0000-0000-000007010000}"/>
    <cellStyle name="Accent4 - 20% 6 2" xfId="245" xr:uid="{00000000-0005-0000-0000-000008010000}"/>
    <cellStyle name="Accent4 - 20% 7" xfId="246" xr:uid="{00000000-0005-0000-0000-000009010000}"/>
    <cellStyle name="Accent4 - 20% 8" xfId="247" xr:uid="{00000000-0005-0000-0000-00000A010000}"/>
    <cellStyle name="Accent4 - 20% 9" xfId="248" xr:uid="{00000000-0005-0000-0000-00000B010000}"/>
    <cellStyle name="Accent4 - 20%_Combinación de negocios - AA-IAMv3" xfId="249" xr:uid="{00000000-0005-0000-0000-00000C010000}"/>
    <cellStyle name="Accent4 - 40%" xfId="250" xr:uid="{00000000-0005-0000-0000-00000D010000}"/>
    <cellStyle name="Accent4 - 40% 10" xfId="251" xr:uid="{00000000-0005-0000-0000-00000E010000}"/>
    <cellStyle name="Accent4 - 40% 11" xfId="252" xr:uid="{00000000-0005-0000-0000-00000F010000}"/>
    <cellStyle name="Accent4 - 40% 12" xfId="253" xr:uid="{00000000-0005-0000-0000-000010010000}"/>
    <cellStyle name="Accent4 - 40% 13" xfId="254" xr:uid="{00000000-0005-0000-0000-000011010000}"/>
    <cellStyle name="Accent4 - 40% 2" xfId="255" xr:uid="{00000000-0005-0000-0000-000012010000}"/>
    <cellStyle name="Accent4 - 40% 2 2" xfId="256" xr:uid="{00000000-0005-0000-0000-000013010000}"/>
    <cellStyle name="Accent4 - 40% 2 2 2" xfId="257" xr:uid="{00000000-0005-0000-0000-000014010000}"/>
    <cellStyle name="Accent4 - 40% 3" xfId="258" xr:uid="{00000000-0005-0000-0000-000015010000}"/>
    <cellStyle name="Accent4 - 40% 3 2" xfId="259" xr:uid="{00000000-0005-0000-0000-000016010000}"/>
    <cellStyle name="Accent4 - 40% 4" xfId="260" xr:uid="{00000000-0005-0000-0000-000017010000}"/>
    <cellStyle name="Accent4 - 40% 4 2" xfId="261" xr:uid="{00000000-0005-0000-0000-000018010000}"/>
    <cellStyle name="Accent4 - 40% 5" xfId="262" xr:uid="{00000000-0005-0000-0000-000019010000}"/>
    <cellStyle name="Accent4 - 40% 5 2" xfId="263" xr:uid="{00000000-0005-0000-0000-00001A010000}"/>
    <cellStyle name="Accent4 - 40% 6" xfId="264" xr:uid="{00000000-0005-0000-0000-00001B010000}"/>
    <cellStyle name="Accent4 - 40% 6 2" xfId="265" xr:uid="{00000000-0005-0000-0000-00001C010000}"/>
    <cellStyle name="Accent4 - 40% 7" xfId="266" xr:uid="{00000000-0005-0000-0000-00001D010000}"/>
    <cellStyle name="Accent4 - 40% 8" xfId="267" xr:uid="{00000000-0005-0000-0000-00001E010000}"/>
    <cellStyle name="Accent4 - 40% 9" xfId="268" xr:uid="{00000000-0005-0000-0000-00001F010000}"/>
    <cellStyle name="Accent4 - 40%_Combinación de negocios - AA-IAMv3" xfId="269" xr:uid="{00000000-0005-0000-0000-000020010000}"/>
    <cellStyle name="Accent4 - 60%" xfId="270" xr:uid="{00000000-0005-0000-0000-000021010000}"/>
    <cellStyle name="Accent4 - 60% 10" xfId="271" xr:uid="{00000000-0005-0000-0000-000022010000}"/>
    <cellStyle name="Accent4 - 60% 11" xfId="272" xr:uid="{00000000-0005-0000-0000-000023010000}"/>
    <cellStyle name="Accent4 - 60% 2" xfId="273" xr:uid="{00000000-0005-0000-0000-000024010000}"/>
    <cellStyle name="Accent4 - 60% 2 2" xfId="274" xr:uid="{00000000-0005-0000-0000-000025010000}"/>
    <cellStyle name="Accent4 - 60% 2 2 2" xfId="275" xr:uid="{00000000-0005-0000-0000-000026010000}"/>
    <cellStyle name="Accent4 - 60% 3" xfId="276" xr:uid="{00000000-0005-0000-0000-000027010000}"/>
    <cellStyle name="Accent4 - 60% 4" xfId="277" xr:uid="{00000000-0005-0000-0000-000028010000}"/>
    <cellStyle name="Accent4 - 60% 5" xfId="278" xr:uid="{00000000-0005-0000-0000-000029010000}"/>
    <cellStyle name="Accent4 - 60% 6" xfId="279" xr:uid="{00000000-0005-0000-0000-00002A010000}"/>
    <cellStyle name="Accent4 - 60% 7" xfId="280" xr:uid="{00000000-0005-0000-0000-00002B010000}"/>
    <cellStyle name="Accent4 - 60% 8" xfId="281" xr:uid="{00000000-0005-0000-0000-00002C010000}"/>
    <cellStyle name="Accent4 - 60% 9" xfId="282" xr:uid="{00000000-0005-0000-0000-00002D010000}"/>
    <cellStyle name="Accent5" xfId="661" xr:uid="{00000000-0005-0000-0000-00002E010000}"/>
    <cellStyle name="Accent5 - 20%" xfId="283" xr:uid="{00000000-0005-0000-0000-00002F010000}"/>
    <cellStyle name="Accent5 - 20% 10" xfId="284" xr:uid="{00000000-0005-0000-0000-000030010000}"/>
    <cellStyle name="Accent5 - 20% 11" xfId="285" xr:uid="{00000000-0005-0000-0000-000031010000}"/>
    <cellStyle name="Accent5 - 20% 12" xfId="286" xr:uid="{00000000-0005-0000-0000-000032010000}"/>
    <cellStyle name="Accent5 - 20% 13" xfId="287" xr:uid="{00000000-0005-0000-0000-000033010000}"/>
    <cellStyle name="Accent5 - 20% 2" xfId="288" xr:uid="{00000000-0005-0000-0000-000034010000}"/>
    <cellStyle name="Accent5 - 20% 2 2" xfId="289" xr:uid="{00000000-0005-0000-0000-000035010000}"/>
    <cellStyle name="Accent5 - 20% 2 2 2" xfId="290" xr:uid="{00000000-0005-0000-0000-000036010000}"/>
    <cellStyle name="Accent5 - 20% 3" xfId="291" xr:uid="{00000000-0005-0000-0000-000037010000}"/>
    <cellStyle name="Accent5 - 20% 3 2" xfId="292" xr:uid="{00000000-0005-0000-0000-000038010000}"/>
    <cellStyle name="Accent5 - 20% 4" xfId="293" xr:uid="{00000000-0005-0000-0000-000039010000}"/>
    <cellStyle name="Accent5 - 20% 4 2" xfId="294" xr:uid="{00000000-0005-0000-0000-00003A010000}"/>
    <cellStyle name="Accent5 - 20% 5" xfId="295" xr:uid="{00000000-0005-0000-0000-00003B010000}"/>
    <cellStyle name="Accent5 - 20% 5 2" xfId="296" xr:uid="{00000000-0005-0000-0000-00003C010000}"/>
    <cellStyle name="Accent5 - 20% 6" xfId="297" xr:uid="{00000000-0005-0000-0000-00003D010000}"/>
    <cellStyle name="Accent5 - 20% 6 2" xfId="298" xr:uid="{00000000-0005-0000-0000-00003E010000}"/>
    <cellStyle name="Accent5 - 20% 7" xfId="299" xr:uid="{00000000-0005-0000-0000-00003F010000}"/>
    <cellStyle name="Accent5 - 20% 8" xfId="300" xr:uid="{00000000-0005-0000-0000-000040010000}"/>
    <cellStyle name="Accent5 - 20% 9" xfId="301" xr:uid="{00000000-0005-0000-0000-000041010000}"/>
    <cellStyle name="Accent5 - 20%_Combinación de negocios - AA-IAMv3" xfId="302" xr:uid="{00000000-0005-0000-0000-000042010000}"/>
    <cellStyle name="Accent5 - 40%" xfId="303" xr:uid="{00000000-0005-0000-0000-000043010000}"/>
    <cellStyle name="Accent5 - 40% 2" xfId="304" xr:uid="{00000000-0005-0000-0000-000044010000}"/>
    <cellStyle name="Accent5 - 40% 2 2" xfId="305" xr:uid="{00000000-0005-0000-0000-000045010000}"/>
    <cellStyle name="Accent5 - 40% 3" xfId="306" xr:uid="{00000000-0005-0000-0000-000046010000}"/>
    <cellStyle name="Accent5 - 40% 3 2" xfId="307" xr:uid="{00000000-0005-0000-0000-000047010000}"/>
    <cellStyle name="Accent5 - 40% 4" xfId="308" xr:uid="{00000000-0005-0000-0000-000048010000}"/>
    <cellStyle name="Accent5 - 40% 4 2" xfId="309" xr:uid="{00000000-0005-0000-0000-000049010000}"/>
    <cellStyle name="Accent5 - 40% 5" xfId="310" xr:uid="{00000000-0005-0000-0000-00004A010000}"/>
    <cellStyle name="Accent5 - 40% 5 2" xfId="311" xr:uid="{00000000-0005-0000-0000-00004B010000}"/>
    <cellStyle name="Accent5 - 40% 6" xfId="312" xr:uid="{00000000-0005-0000-0000-00004C010000}"/>
    <cellStyle name="Accent5 - 40% 6 2" xfId="313" xr:uid="{00000000-0005-0000-0000-00004D010000}"/>
    <cellStyle name="Accent5 - 40% 7" xfId="314" xr:uid="{00000000-0005-0000-0000-00004E010000}"/>
    <cellStyle name="Accent5 - 40% 8" xfId="315" xr:uid="{00000000-0005-0000-0000-00004F010000}"/>
    <cellStyle name="Accent5 - 40% 9" xfId="316" xr:uid="{00000000-0005-0000-0000-000050010000}"/>
    <cellStyle name="Accent5 - 40%_Combinación de negocios - AA-IAMv3" xfId="317" xr:uid="{00000000-0005-0000-0000-000051010000}"/>
    <cellStyle name="Accent5 - 60%" xfId="318" xr:uid="{00000000-0005-0000-0000-000052010000}"/>
    <cellStyle name="Accent5 - 60% 10" xfId="319" xr:uid="{00000000-0005-0000-0000-000053010000}"/>
    <cellStyle name="Accent5 - 60% 11" xfId="320" xr:uid="{00000000-0005-0000-0000-000054010000}"/>
    <cellStyle name="Accent5 - 60% 2" xfId="321" xr:uid="{00000000-0005-0000-0000-000055010000}"/>
    <cellStyle name="Accent5 - 60% 2 2" xfId="322" xr:uid="{00000000-0005-0000-0000-000056010000}"/>
    <cellStyle name="Accent5 - 60% 2 2 2" xfId="323" xr:uid="{00000000-0005-0000-0000-000057010000}"/>
    <cellStyle name="Accent5 - 60% 3" xfId="324" xr:uid="{00000000-0005-0000-0000-000058010000}"/>
    <cellStyle name="Accent5 - 60% 4" xfId="325" xr:uid="{00000000-0005-0000-0000-000059010000}"/>
    <cellStyle name="Accent5 - 60% 5" xfId="326" xr:uid="{00000000-0005-0000-0000-00005A010000}"/>
    <cellStyle name="Accent5 - 60% 6" xfId="327" xr:uid="{00000000-0005-0000-0000-00005B010000}"/>
    <cellStyle name="Accent5 - 60% 7" xfId="328" xr:uid="{00000000-0005-0000-0000-00005C010000}"/>
    <cellStyle name="Accent5 - 60% 8" xfId="329" xr:uid="{00000000-0005-0000-0000-00005D010000}"/>
    <cellStyle name="Accent5 - 60% 9" xfId="330" xr:uid="{00000000-0005-0000-0000-00005E010000}"/>
    <cellStyle name="Accent6" xfId="688" xr:uid="{00000000-0005-0000-0000-00005F010000}"/>
    <cellStyle name="Accent6 - 20%" xfId="331" xr:uid="{00000000-0005-0000-0000-000060010000}"/>
    <cellStyle name="Accent6 - 20% 2" xfId="332" xr:uid="{00000000-0005-0000-0000-000061010000}"/>
    <cellStyle name="Accent6 - 20% 2 2" xfId="333" xr:uid="{00000000-0005-0000-0000-000062010000}"/>
    <cellStyle name="Accent6 - 20% 3" xfId="334" xr:uid="{00000000-0005-0000-0000-000063010000}"/>
    <cellStyle name="Accent6 - 20% 3 2" xfId="335" xr:uid="{00000000-0005-0000-0000-000064010000}"/>
    <cellStyle name="Accent6 - 20% 4" xfId="336" xr:uid="{00000000-0005-0000-0000-000065010000}"/>
    <cellStyle name="Accent6 - 20% 4 2" xfId="337" xr:uid="{00000000-0005-0000-0000-000066010000}"/>
    <cellStyle name="Accent6 - 20% 5" xfId="338" xr:uid="{00000000-0005-0000-0000-000067010000}"/>
    <cellStyle name="Accent6 - 20% 5 2" xfId="339" xr:uid="{00000000-0005-0000-0000-000068010000}"/>
    <cellStyle name="Accent6 - 20% 6" xfId="340" xr:uid="{00000000-0005-0000-0000-000069010000}"/>
    <cellStyle name="Accent6 - 20% 6 2" xfId="341" xr:uid="{00000000-0005-0000-0000-00006A010000}"/>
    <cellStyle name="Accent6 - 20% 7" xfId="342" xr:uid="{00000000-0005-0000-0000-00006B010000}"/>
    <cellStyle name="Accent6 - 20% 8" xfId="343" xr:uid="{00000000-0005-0000-0000-00006C010000}"/>
    <cellStyle name="Accent6 - 20% 9" xfId="344" xr:uid="{00000000-0005-0000-0000-00006D010000}"/>
    <cellStyle name="Accent6 - 20%_Combinación de negocios - AA-IAMv3" xfId="345" xr:uid="{00000000-0005-0000-0000-00006E010000}"/>
    <cellStyle name="Accent6 - 40%" xfId="346" xr:uid="{00000000-0005-0000-0000-00006F010000}"/>
    <cellStyle name="Accent6 - 40% 10" xfId="347" xr:uid="{00000000-0005-0000-0000-000070010000}"/>
    <cellStyle name="Accent6 - 40% 11" xfId="348" xr:uid="{00000000-0005-0000-0000-000071010000}"/>
    <cellStyle name="Accent6 - 40% 12" xfId="349" xr:uid="{00000000-0005-0000-0000-000072010000}"/>
    <cellStyle name="Accent6 - 40% 13" xfId="350" xr:uid="{00000000-0005-0000-0000-000073010000}"/>
    <cellStyle name="Accent6 - 40% 2" xfId="351" xr:uid="{00000000-0005-0000-0000-000074010000}"/>
    <cellStyle name="Accent6 - 40% 2 2" xfId="352" xr:uid="{00000000-0005-0000-0000-000075010000}"/>
    <cellStyle name="Accent6 - 40% 2 2 2" xfId="353" xr:uid="{00000000-0005-0000-0000-000076010000}"/>
    <cellStyle name="Accent6 - 40% 3" xfId="354" xr:uid="{00000000-0005-0000-0000-000077010000}"/>
    <cellStyle name="Accent6 - 40% 3 2" xfId="355" xr:uid="{00000000-0005-0000-0000-000078010000}"/>
    <cellStyle name="Accent6 - 40% 4" xfId="356" xr:uid="{00000000-0005-0000-0000-000079010000}"/>
    <cellStyle name="Accent6 - 40% 4 2" xfId="357" xr:uid="{00000000-0005-0000-0000-00007A010000}"/>
    <cellStyle name="Accent6 - 40% 5" xfId="358" xr:uid="{00000000-0005-0000-0000-00007B010000}"/>
    <cellStyle name="Accent6 - 40% 5 2" xfId="359" xr:uid="{00000000-0005-0000-0000-00007C010000}"/>
    <cellStyle name="Accent6 - 40% 6" xfId="360" xr:uid="{00000000-0005-0000-0000-00007D010000}"/>
    <cellStyle name="Accent6 - 40% 6 2" xfId="361" xr:uid="{00000000-0005-0000-0000-00007E010000}"/>
    <cellStyle name="Accent6 - 40% 7" xfId="362" xr:uid="{00000000-0005-0000-0000-00007F010000}"/>
    <cellStyle name="Accent6 - 40% 8" xfId="363" xr:uid="{00000000-0005-0000-0000-000080010000}"/>
    <cellStyle name="Accent6 - 40% 9" xfId="364" xr:uid="{00000000-0005-0000-0000-000081010000}"/>
    <cellStyle name="Accent6 - 40%_Combinación de negocios - AA-IAMv3" xfId="365" xr:uid="{00000000-0005-0000-0000-000082010000}"/>
    <cellStyle name="Accent6 - 60%" xfId="366" xr:uid="{00000000-0005-0000-0000-000083010000}"/>
    <cellStyle name="Accent6 - 60% 10" xfId="367" xr:uid="{00000000-0005-0000-0000-000084010000}"/>
    <cellStyle name="Accent6 - 60% 11" xfId="368" xr:uid="{00000000-0005-0000-0000-000085010000}"/>
    <cellStyle name="Accent6 - 60% 2" xfId="369" xr:uid="{00000000-0005-0000-0000-000086010000}"/>
    <cellStyle name="Accent6 - 60% 2 2" xfId="370" xr:uid="{00000000-0005-0000-0000-000087010000}"/>
    <cellStyle name="Accent6 - 60% 2 2 2" xfId="371" xr:uid="{00000000-0005-0000-0000-000088010000}"/>
    <cellStyle name="Accent6 - 60% 3" xfId="372" xr:uid="{00000000-0005-0000-0000-000089010000}"/>
    <cellStyle name="Accent6 - 60% 4" xfId="373" xr:uid="{00000000-0005-0000-0000-00008A010000}"/>
    <cellStyle name="Accent6 - 60% 5" xfId="374" xr:uid="{00000000-0005-0000-0000-00008B010000}"/>
    <cellStyle name="Accent6 - 60% 6" xfId="375" xr:uid="{00000000-0005-0000-0000-00008C010000}"/>
    <cellStyle name="Accent6 - 60% 7" xfId="376" xr:uid="{00000000-0005-0000-0000-00008D010000}"/>
    <cellStyle name="Accent6 - 60% 8" xfId="377" xr:uid="{00000000-0005-0000-0000-00008E010000}"/>
    <cellStyle name="Accent6 - 60% 9" xfId="378" xr:uid="{00000000-0005-0000-0000-00008F010000}"/>
    <cellStyle name="Akcent 1" xfId="379" xr:uid="{00000000-0005-0000-0000-000090010000}"/>
    <cellStyle name="Akcent 2" xfId="380" xr:uid="{00000000-0005-0000-0000-000091010000}"/>
    <cellStyle name="Akcent 3" xfId="381" xr:uid="{00000000-0005-0000-0000-000092010000}"/>
    <cellStyle name="Akcent 4" xfId="382" xr:uid="{00000000-0005-0000-0000-000093010000}"/>
    <cellStyle name="Akcent 5" xfId="383" xr:uid="{00000000-0005-0000-0000-000094010000}"/>
    <cellStyle name="Akcent 6" xfId="384" xr:uid="{00000000-0005-0000-0000-000095010000}"/>
    <cellStyle name="Bad" xfId="753" xr:uid="{00000000-0005-0000-0000-000096010000}"/>
    <cellStyle name="Buena 2" xfId="385" xr:uid="{00000000-0005-0000-0000-000097010000}"/>
    <cellStyle name="Buena 2 2" xfId="386" xr:uid="{00000000-0005-0000-0000-000098010000}"/>
    <cellStyle name="Buena 2 3" xfId="387" xr:uid="{00000000-0005-0000-0000-000099010000}"/>
    <cellStyle name="Buena 2 4" xfId="388" xr:uid="{00000000-0005-0000-0000-00009A010000}"/>
    <cellStyle name="Buena 2 5" xfId="389" xr:uid="{00000000-0005-0000-0000-00009B010000}"/>
    <cellStyle name="Buena 2 6" xfId="390" xr:uid="{00000000-0005-0000-0000-00009C010000}"/>
    <cellStyle name="Buena 3" xfId="391" xr:uid="{00000000-0005-0000-0000-00009D010000}"/>
    <cellStyle name="Buena 3 2" xfId="392" xr:uid="{00000000-0005-0000-0000-00009E010000}"/>
    <cellStyle name="Buena 3 3" xfId="393" xr:uid="{00000000-0005-0000-0000-00009F010000}"/>
    <cellStyle name="Buena 3 4" xfId="394" xr:uid="{00000000-0005-0000-0000-0000A0010000}"/>
    <cellStyle name="Buena 3 5" xfId="395" xr:uid="{00000000-0005-0000-0000-0000A1010000}"/>
    <cellStyle name="Buena 4" xfId="396" xr:uid="{00000000-0005-0000-0000-0000A2010000}"/>
    <cellStyle name="Buena 4 2" xfId="397" xr:uid="{00000000-0005-0000-0000-0000A3010000}"/>
    <cellStyle name="Buena 4 3" xfId="398" xr:uid="{00000000-0005-0000-0000-0000A4010000}"/>
    <cellStyle name="Buena 4 4" xfId="399" xr:uid="{00000000-0005-0000-0000-0000A5010000}"/>
    <cellStyle name="Buena 4 5" xfId="400" xr:uid="{00000000-0005-0000-0000-0000A6010000}"/>
    <cellStyle name="Buena 5" xfId="401" xr:uid="{00000000-0005-0000-0000-0000A7010000}"/>
    <cellStyle name="Buena 5 2" xfId="402" xr:uid="{00000000-0005-0000-0000-0000A8010000}"/>
    <cellStyle name="Buena 5 3" xfId="403" xr:uid="{00000000-0005-0000-0000-0000A9010000}"/>
    <cellStyle name="Buena 5 4" xfId="404" xr:uid="{00000000-0005-0000-0000-0000AA010000}"/>
    <cellStyle name="Buena 5 5" xfId="405" xr:uid="{00000000-0005-0000-0000-0000AB010000}"/>
    <cellStyle name="Buena 6" xfId="406" xr:uid="{00000000-0005-0000-0000-0000AC010000}"/>
    <cellStyle name="Buena 6 2" xfId="407" xr:uid="{00000000-0005-0000-0000-0000AD010000}"/>
    <cellStyle name="Buena 7" xfId="408" xr:uid="{00000000-0005-0000-0000-0000AE010000}"/>
    <cellStyle name="Buena 7 2" xfId="409" xr:uid="{00000000-0005-0000-0000-0000AF010000}"/>
    <cellStyle name="Buena 8" xfId="410" xr:uid="{00000000-0005-0000-0000-0000B0010000}"/>
    <cellStyle name="Buena 8 2" xfId="411" xr:uid="{00000000-0005-0000-0000-0000B1010000}"/>
    <cellStyle name="Buena 9" xfId="412" xr:uid="{00000000-0005-0000-0000-0000B2010000}"/>
    <cellStyle name="Buena 9 2" xfId="413" xr:uid="{00000000-0005-0000-0000-0000B3010000}"/>
    <cellStyle name="Calculation" xfId="414" xr:uid="{00000000-0005-0000-0000-0000B5010000}"/>
    <cellStyle name="Cálculo 2" xfId="415" xr:uid="{00000000-0005-0000-0000-0000B6010000}"/>
    <cellStyle name="Cálculo 2 2" xfId="416" xr:uid="{00000000-0005-0000-0000-0000B7010000}"/>
    <cellStyle name="Cálculo 2 3" xfId="417" xr:uid="{00000000-0005-0000-0000-0000B8010000}"/>
    <cellStyle name="Cálculo 2 4" xfId="418" xr:uid="{00000000-0005-0000-0000-0000B9010000}"/>
    <cellStyle name="Cálculo 2 5" xfId="419" xr:uid="{00000000-0005-0000-0000-0000BA010000}"/>
    <cellStyle name="Cálculo 2 6" xfId="420" xr:uid="{00000000-0005-0000-0000-0000BB010000}"/>
    <cellStyle name="Cálculo 3" xfId="421" xr:uid="{00000000-0005-0000-0000-0000BC010000}"/>
    <cellStyle name="Cálculo 3 2" xfId="422" xr:uid="{00000000-0005-0000-0000-0000BD010000}"/>
    <cellStyle name="Cálculo 3 3" xfId="423" xr:uid="{00000000-0005-0000-0000-0000BE010000}"/>
    <cellStyle name="Cálculo 3 4" xfId="424" xr:uid="{00000000-0005-0000-0000-0000BF010000}"/>
    <cellStyle name="Cálculo 3 5" xfId="425" xr:uid="{00000000-0005-0000-0000-0000C0010000}"/>
    <cellStyle name="Cálculo 4" xfId="426" xr:uid="{00000000-0005-0000-0000-0000C1010000}"/>
    <cellStyle name="Cálculo 4 2" xfId="427" xr:uid="{00000000-0005-0000-0000-0000C2010000}"/>
    <cellStyle name="Cálculo 4 3" xfId="428" xr:uid="{00000000-0005-0000-0000-0000C3010000}"/>
    <cellStyle name="Cálculo 4 4" xfId="429" xr:uid="{00000000-0005-0000-0000-0000C4010000}"/>
    <cellStyle name="Cálculo 4 5" xfId="430" xr:uid="{00000000-0005-0000-0000-0000C5010000}"/>
    <cellStyle name="Cálculo 5" xfId="431" xr:uid="{00000000-0005-0000-0000-0000C6010000}"/>
    <cellStyle name="Cálculo 5 2" xfId="432" xr:uid="{00000000-0005-0000-0000-0000C7010000}"/>
    <cellStyle name="Cálculo 5 3" xfId="433" xr:uid="{00000000-0005-0000-0000-0000C8010000}"/>
    <cellStyle name="Cálculo 5 4" xfId="434" xr:uid="{00000000-0005-0000-0000-0000C9010000}"/>
    <cellStyle name="Cálculo 5 5" xfId="435" xr:uid="{00000000-0005-0000-0000-0000CA010000}"/>
    <cellStyle name="Cálculo 6" xfId="436" xr:uid="{00000000-0005-0000-0000-0000CB010000}"/>
    <cellStyle name="Cálculo 6 2" xfId="437" xr:uid="{00000000-0005-0000-0000-0000CC010000}"/>
    <cellStyle name="Cálculo 7" xfId="438" xr:uid="{00000000-0005-0000-0000-0000CD010000}"/>
    <cellStyle name="Cálculo 8" xfId="439" xr:uid="{00000000-0005-0000-0000-0000CE010000}"/>
    <cellStyle name="Cálculo 9" xfId="440" xr:uid="{00000000-0005-0000-0000-0000CF010000}"/>
    <cellStyle name="Celda de comprobación 2" xfId="441" xr:uid="{00000000-0005-0000-0000-0000D1010000}"/>
    <cellStyle name="Celda de comprobación 2 2" xfId="442" xr:uid="{00000000-0005-0000-0000-0000D2010000}"/>
    <cellStyle name="Celda de comprobación 2 3" xfId="443" xr:uid="{00000000-0005-0000-0000-0000D3010000}"/>
    <cellStyle name="Celda de comprobación 2 4" xfId="444" xr:uid="{00000000-0005-0000-0000-0000D4010000}"/>
    <cellStyle name="Celda de comprobación 2 5" xfId="445" xr:uid="{00000000-0005-0000-0000-0000D5010000}"/>
    <cellStyle name="Celda de comprobación 2 6" xfId="446" xr:uid="{00000000-0005-0000-0000-0000D6010000}"/>
    <cellStyle name="Celda de comprobación 3" xfId="447" xr:uid="{00000000-0005-0000-0000-0000D7010000}"/>
    <cellStyle name="Celda de comprobación 3 2" xfId="448" xr:uid="{00000000-0005-0000-0000-0000D8010000}"/>
    <cellStyle name="Celda de comprobación 3 3" xfId="449" xr:uid="{00000000-0005-0000-0000-0000D9010000}"/>
    <cellStyle name="Celda de comprobación 3 4" xfId="450" xr:uid="{00000000-0005-0000-0000-0000DA010000}"/>
    <cellStyle name="Celda de comprobación 3 5" xfId="451" xr:uid="{00000000-0005-0000-0000-0000DB010000}"/>
    <cellStyle name="Celda de comprobación 4" xfId="452" xr:uid="{00000000-0005-0000-0000-0000DC010000}"/>
    <cellStyle name="Celda de comprobación 4 2" xfId="453" xr:uid="{00000000-0005-0000-0000-0000DD010000}"/>
    <cellStyle name="Celda de comprobación 4 3" xfId="454" xr:uid="{00000000-0005-0000-0000-0000DE010000}"/>
    <cellStyle name="Celda de comprobación 4 4" xfId="455" xr:uid="{00000000-0005-0000-0000-0000DF010000}"/>
    <cellStyle name="Celda de comprobación 4 5" xfId="456" xr:uid="{00000000-0005-0000-0000-0000E0010000}"/>
    <cellStyle name="Celda de comprobación 5" xfId="457" xr:uid="{00000000-0005-0000-0000-0000E1010000}"/>
    <cellStyle name="Celda de comprobación 5 2" xfId="458" xr:uid="{00000000-0005-0000-0000-0000E2010000}"/>
    <cellStyle name="Celda de comprobación 5 3" xfId="459" xr:uid="{00000000-0005-0000-0000-0000E3010000}"/>
    <cellStyle name="Celda de comprobación 5 4" xfId="460" xr:uid="{00000000-0005-0000-0000-0000E4010000}"/>
    <cellStyle name="Celda de comprobación 5 5" xfId="461" xr:uid="{00000000-0005-0000-0000-0000E5010000}"/>
    <cellStyle name="Celda de comprobación 6" xfId="462" xr:uid="{00000000-0005-0000-0000-0000E6010000}"/>
    <cellStyle name="Celda de comprobación 6 2" xfId="463" xr:uid="{00000000-0005-0000-0000-0000E7010000}"/>
    <cellStyle name="Celda de comprobación 7" xfId="464" xr:uid="{00000000-0005-0000-0000-0000E8010000}"/>
    <cellStyle name="Celda de comprobación 8" xfId="465" xr:uid="{00000000-0005-0000-0000-0000E9010000}"/>
    <cellStyle name="Celda de comprobación 9" xfId="466" xr:uid="{00000000-0005-0000-0000-0000EA010000}"/>
    <cellStyle name="Celda vinculada 2" xfId="467" xr:uid="{00000000-0005-0000-0000-0000EC010000}"/>
    <cellStyle name="Celda vinculada 2 2" xfId="468" xr:uid="{00000000-0005-0000-0000-0000ED010000}"/>
    <cellStyle name="Celda vinculada 2 3" xfId="469" xr:uid="{00000000-0005-0000-0000-0000EE010000}"/>
    <cellStyle name="Celda vinculada 2 4" xfId="470" xr:uid="{00000000-0005-0000-0000-0000EF010000}"/>
    <cellStyle name="Celda vinculada 2 5" xfId="471" xr:uid="{00000000-0005-0000-0000-0000F0010000}"/>
    <cellStyle name="Celda vinculada 2 6" xfId="472" xr:uid="{00000000-0005-0000-0000-0000F1010000}"/>
    <cellStyle name="Celda vinculada 3" xfId="473" xr:uid="{00000000-0005-0000-0000-0000F2010000}"/>
    <cellStyle name="Celda vinculada 3 2" xfId="474" xr:uid="{00000000-0005-0000-0000-0000F3010000}"/>
    <cellStyle name="Celda vinculada 3 3" xfId="475" xr:uid="{00000000-0005-0000-0000-0000F4010000}"/>
    <cellStyle name="Celda vinculada 3 4" xfId="476" xr:uid="{00000000-0005-0000-0000-0000F5010000}"/>
    <cellStyle name="Celda vinculada 3 5" xfId="477" xr:uid="{00000000-0005-0000-0000-0000F6010000}"/>
    <cellStyle name="Celda vinculada 4" xfId="478" xr:uid="{00000000-0005-0000-0000-0000F7010000}"/>
    <cellStyle name="Celda vinculada 4 2" xfId="479" xr:uid="{00000000-0005-0000-0000-0000F8010000}"/>
    <cellStyle name="Celda vinculada 4 3" xfId="480" xr:uid="{00000000-0005-0000-0000-0000F9010000}"/>
    <cellStyle name="Celda vinculada 4 4" xfId="481" xr:uid="{00000000-0005-0000-0000-0000FA010000}"/>
    <cellStyle name="Celda vinculada 4 5" xfId="482" xr:uid="{00000000-0005-0000-0000-0000FB010000}"/>
    <cellStyle name="Celda vinculada 5" xfId="483" xr:uid="{00000000-0005-0000-0000-0000FC010000}"/>
    <cellStyle name="Celda vinculada 5 2" xfId="484" xr:uid="{00000000-0005-0000-0000-0000FD010000}"/>
    <cellStyle name="Celda vinculada 5 3" xfId="485" xr:uid="{00000000-0005-0000-0000-0000FE010000}"/>
    <cellStyle name="Celda vinculada 5 4" xfId="486" xr:uid="{00000000-0005-0000-0000-0000FF010000}"/>
    <cellStyle name="Celda vinculada 5 5" xfId="487" xr:uid="{00000000-0005-0000-0000-000000020000}"/>
    <cellStyle name="Celda vinculada 6" xfId="488" xr:uid="{00000000-0005-0000-0000-000001020000}"/>
    <cellStyle name="Celda vinculada 6 2" xfId="489" xr:uid="{00000000-0005-0000-0000-000002020000}"/>
    <cellStyle name="Celda vinculada 7" xfId="490" xr:uid="{00000000-0005-0000-0000-000003020000}"/>
    <cellStyle name="Celda vinculada 8" xfId="491" xr:uid="{00000000-0005-0000-0000-000004020000}"/>
    <cellStyle name="Celda vinculada 9" xfId="492" xr:uid="{00000000-0005-0000-0000-000005020000}"/>
    <cellStyle name="Check Cell" xfId="493" builtinId="23" customBuiltin="1"/>
    <cellStyle name="Check Cell 2" xfId="494" xr:uid="{00000000-0005-0000-0000-000006020000}"/>
    <cellStyle name="Check Cell 3" xfId="495" xr:uid="{00000000-0005-0000-0000-000007020000}"/>
    <cellStyle name="Check Cell 4" xfId="496" xr:uid="{00000000-0005-0000-0000-000008020000}"/>
    <cellStyle name="Check Cell 5" xfId="497" xr:uid="{00000000-0005-0000-0000-000009020000}"/>
    <cellStyle name="Comma" xfId="793" builtinId="3"/>
    <cellStyle name="Comma [0]" xfId="1660" builtinId="6"/>
    <cellStyle name="Dane wej?ciowe" xfId="498" xr:uid="{00000000-0005-0000-0000-00000A020000}"/>
    <cellStyle name="Dane wejściowe" xfId="499" xr:uid="{00000000-0005-0000-0000-00000B020000}"/>
    <cellStyle name="Dane wyj?ciowe" xfId="500" xr:uid="{00000000-0005-0000-0000-00000C020000}"/>
    <cellStyle name="Dane wyjściowe" xfId="501" xr:uid="{00000000-0005-0000-0000-00000D020000}"/>
    <cellStyle name="Dobre" xfId="502" xr:uid="{00000000-0005-0000-0000-00000E020000}"/>
    <cellStyle name="Emphasis 1" xfId="503" xr:uid="{00000000-0005-0000-0000-00000F020000}"/>
    <cellStyle name="Emphasis 1 10" xfId="504" xr:uid="{00000000-0005-0000-0000-000010020000}"/>
    <cellStyle name="Emphasis 1 11" xfId="505" xr:uid="{00000000-0005-0000-0000-000011020000}"/>
    <cellStyle name="Emphasis 1 2" xfId="506" xr:uid="{00000000-0005-0000-0000-000012020000}"/>
    <cellStyle name="Emphasis 1 2 2" xfId="507" xr:uid="{00000000-0005-0000-0000-000013020000}"/>
    <cellStyle name="Emphasis 1 2 2 2" xfId="508" xr:uid="{00000000-0005-0000-0000-000014020000}"/>
    <cellStyle name="Emphasis 1 3" xfId="509" xr:uid="{00000000-0005-0000-0000-000015020000}"/>
    <cellStyle name="Emphasis 1 4" xfId="510" xr:uid="{00000000-0005-0000-0000-000016020000}"/>
    <cellStyle name="Emphasis 1 5" xfId="511" xr:uid="{00000000-0005-0000-0000-000017020000}"/>
    <cellStyle name="Emphasis 1 6" xfId="512" xr:uid="{00000000-0005-0000-0000-000018020000}"/>
    <cellStyle name="Emphasis 1 7" xfId="513" xr:uid="{00000000-0005-0000-0000-000019020000}"/>
    <cellStyle name="Emphasis 1 8" xfId="514" xr:uid="{00000000-0005-0000-0000-00001A020000}"/>
    <cellStyle name="Emphasis 1 9" xfId="515" xr:uid="{00000000-0005-0000-0000-00001B020000}"/>
    <cellStyle name="Emphasis 2" xfId="516" xr:uid="{00000000-0005-0000-0000-00001C020000}"/>
    <cellStyle name="Emphasis 2 10" xfId="517" xr:uid="{00000000-0005-0000-0000-00001D020000}"/>
    <cellStyle name="Emphasis 2 11" xfId="518" xr:uid="{00000000-0005-0000-0000-00001E020000}"/>
    <cellStyle name="Emphasis 2 2" xfId="519" xr:uid="{00000000-0005-0000-0000-00001F020000}"/>
    <cellStyle name="Emphasis 2 2 2" xfId="520" xr:uid="{00000000-0005-0000-0000-000020020000}"/>
    <cellStyle name="Emphasis 2 2 2 2" xfId="521" xr:uid="{00000000-0005-0000-0000-000021020000}"/>
    <cellStyle name="Emphasis 2 3" xfId="522" xr:uid="{00000000-0005-0000-0000-000022020000}"/>
    <cellStyle name="Emphasis 2 4" xfId="523" xr:uid="{00000000-0005-0000-0000-000023020000}"/>
    <cellStyle name="Emphasis 2 5" xfId="524" xr:uid="{00000000-0005-0000-0000-000024020000}"/>
    <cellStyle name="Emphasis 2 6" xfId="525" xr:uid="{00000000-0005-0000-0000-000025020000}"/>
    <cellStyle name="Emphasis 2 7" xfId="526" xr:uid="{00000000-0005-0000-0000-000026020000}"/>
    <cellStyle name="Emphasis 2 8" xfId="527" xr:uid="{00000000-0005-0000-0000-000027020000}"/>
    <cellStyle name="Emphasis 2 9" xfId="528" xr:uid="{00000000-0005-0000-0000-000028020000}"/>
    <cellStyle name="Emphasis 3" xfId="529" xr:uid="{00000000-0005-0000-0000-000029020000}"/>
    <cellStyle name="Encabezado 4 2" xfId="530" xr:uid="{00000000-0005-0000-0000-00002C020000}"/>
    <cellStyle name="Encabezado 4 2 2" xfId="531" xr:uid="{00000000-0005-0000-0000-00002D020000}"/>
    <cellStyle name="Encabezado 4 2 3" xfId="532" xr:uid="{00000000-0005-0000-0000-00002E020000}"/>
    <cellStyle name="Encabezado 4 2 4" xfId="533" xr:uid="{00000000-0005-0000-0000-00002F020000}"/>
    <cellStyle name="Encabezado 4 2 5" xfId="534" xr:uid="{00000000-0005-0000-0000-000030020000}"/>
    <cellStyle name="Encabezado 4 2 6" xfId="535" xr:uid="{00000000-0005-0000-0000-000031020000}"/>
    <cellStyle name="Encabezado 4 3" xfId="536" xr:uid="{00000000-0005-0000-0000-000032020000}"/>
    <cellStyle name="Encabezado 4 3 2" xfId="537" xr:uid="{00000000-0005-0000-0000-000033020000}"/>
    <cellStyle name="Encabezado 4 3 3" xfId="538" xr:uid="{00000000-0005-0000-0000-000034020000}"/>
    <cellStyle name="Encabezado 4 3 4" xfId="539" xr:uid="{00000000-0005-0000-0000-000035020000}"/>
    <cellStyle name="Encabezado 4 3 5" xfId="540" xr:uid="{00000000-0005-0000-0000-000036020000}"/>
    <cellStyle name="Encabezado 4 4" xfId="541" xr:uid="{00000000-0005-0000-0000-000037020000}"/>
    <cellStyle name="Encabezado 4 4 2" xfId="542" xr:uid="{00000000-0005-0000-0000-000038020000}"/>
    <cellStyle name="Encabezado 4 4 3" xfId="543" xr:uid="{00000000-0005-0000-0000-000039020000}"/>
    <cellStyle name="Encabezado 4 4 4" xfId="544" xr:uid="{00000000-0005-0000-0000-00003A020000}"/>
    <cellStyle name="Encabezado 4 4 5" xfId="545" xr:uid="{00000000-0005-0000-0000-00003B020000}"/>
    <cellStyle name="Encabezado 4 5" xfId="546" xr:uid="{00000000-0005-0000-0000-00003C020000}"/>
    <cellStyle name="Encabezado 4 5 2" xfId="547" xr:uid="{00000000-0005-0000-0000-00003D020000}"/>
    <cellStyle name="Encabezado 4 5 3" xfId="548" xr:uid="{00000000-0005-0000-0000-00003E020000}"/>
    <cellStyle name="Encabezado 4 5 4" xfId="549" xr:uid="{00000000-0005-0000-0000-00003F020000}"/>
    <cellStyle name="Encabezado 4 5 5" xfId="550" xr:uid="{00000000-0005-0000-0000-000040020000}"/>
    <cellStyle name="Encabezado 4 6" xfId="551" xr:uid="{00000000-0005-0000-0000-000041020000}"/>
    <cellStyle name="Encabezado 4 7" xfId="552" xr:uid="{00000000-0005-0000-0000-000042020000}"/>
    <cellStyle name="Encabezado 4 8" xfId="553" xr:uid="{00000000-0005-0000-0000-000043020000}"/>
    <cellStyle name="Encabezado 4 9" xfId="554" xr:uid="{00000000-0005-0000-0000-000044020000}"/>
    <cellStyle name="Énfasis1 2" xfId="556" xr:uid="{00000000-0005-0000-0000-000045020000}"/>
    <cellStyle name="Énfasis1 2 2" xfId="557" xr:uid="{00000000-0005-0000-0000-000046020000}"/>
    <cellStyle name="Énfasis1 2 3" xfId="558" xr:uid="{00000000-0005-0000-0000-000047020000}"/>
    <cellStyle name="Énfasis1 2 4" xfId="559" xr:uid="{00000000-0005-0000-0000-000048020000}"/>
    <cellStyle name="Énfasis1 2 5" xfId="560" xr:uid="{00000000-0005-0000-0000-000049020000}"/>
    <cellStyle name="Énfasis1 2 6" xfId="561" xr:uid="{00000000-0005-0000-0000-00004A020000}"/>
    <cellStyle name="Énfasis1 3" xfId="562" xr:uid="{00000000-0005-0000-0000-00004B020000}"/>
    <cellStyle name="Énfasis1 3 2" xfId="563" xr:uid="{00000000-0005-0000-0000-00004C020000}"/>
    <cellStyle name="Énfasis1 3 3" xfId="564" xr:uid="{00000000-0005-0000-0000-00004D020000}"/>
    <cellStyle name="Énfasis1 3 4" xfId="565" xr:uid="{00000000-0005-0000-0000-00004E020000}"/>
    <cellStyle name="Énfasis1 3 5" xfId="566" xr:uid="{00000000-0005-0000-0000-00004F020000}"/>
    <cellStyle name="Énfasis1 4" xfId="567" xr:uid="{00000000-0005-0000-0000-000050020000}"/>
    <cellStyle name="Énfasis1 4 2" xfId="568" xr:uid="{00000000-0005-0000-0000-000051020000}"/>
    <cellStyle name="Énfasis1 4 3" xfId="569" xr:uid="{00000000-0005-0000-0000-000052020000}"/>
    <cellStyle name="Énfasis1 4 4" xfId="570" xr:uid="{00000000-0005-0000-0000-000053020000}"/>
    <cellStyle name="Énfasis1 4 5" xfId="571" xr:uid="{00000000-0005-0000-0000-000054020000}"/>
    <cellStyle name="Énfasis1 5" xfId="572" xr:uid="{00000000-0005-0000-0000-000055020000}"/>
    <cellStyle name="Énfasis1 5 2" xfId="573" xr:uid="{00000000-0005-0000-0000-000056020000}"/>
    <cellStyle name="Énfasis1 5 3" xfId="574" xr:uid="{00000000-0005-0000-0000-000057020000}"/>
    <cellStyle name="Énfasis1 5 4" xfId="575" xr:uid="{00000000-0005-0000-0000-000058020000}"/>
    <cellStyle name="Énfasis1 5 5" xfId="576" xr:uid="{00000000-0005-0000-0000-000059020000}"/>
    <cellStyle name="Énfasis1 6" xfId="577" xr:uid="{00000000-0005-0000-0000-00005A020000}"/>
    <cellStyle name="Énfasis1 7" xfId="578" xr:uid="{00000000-0005-0000-0000-00005B020000}"/>
    <cellStyle name="Énfasis1 8" xfId="579" xr:uid="{00000000-0005-0000-0000-00005C020000}"/>
    <cellStyle name="Énfasis1 9" xfId="580" xr:uid="{00000000-0005-0000-0000-00005D020000}"/>
    <cellStyle name="Énfasis2 2" xfId="582" xr:uid="{00000000-0005-0000-0000-00005E020000}"/>
    <cellStyle name="Énfasis2 2 2" xfId="583" xr:uid="{00000000-0005-0000-0000-00005F020000}"/>
    <cellStyle name="Énfasis2 2 3" xfId="584" xr:uid="{00000000-0005-0000-0000-000060020000}"/>
    <cellStyle name="Énfasis2 2 4" xfId="585" xr:uid="{00000000-0005-0000-0000-000061020000}"/>
    <cellStyle name="Énfasis2 2 5" xfId="586" xr:uid="{00000000-0005-0000-0000-000062020000}"/>
    <cellStyle name="Énfasis2 2 6" xfId="587" xr:uid="{00000000-0005-0000-0000-000063020000}"/>
    <cellStyle name="Énfasis2 3" xfId="588" xr:uid="{00000000-0005-0000-0000-000064020000}"/>
    <cellStyle name="Énfasis2 3 2" xfId="589" xr:uid="{00000000-0005-0000-0000-000065020000}"/>
    <cellStyle name="Énfasis2 3 3" xfId="590" xr:uid="{00000000-0005-0000-0000-000066020000}"/>
    <cellStyle name="Énfasis2 3 4" xfId="591" xr:uid="{00000000-0005-0000-0000-000067020000}"/>
    <cellStyle name="Énfasis2 3 5" xfId="592" xr:uid="{00000000-0005-0000-0000-000068020000}"/>
    <cellStyle name="Énfasis2 4" xfId="593" xr:uid="{00000000-0005-0000-0000-000069020000}"/>
    <cellStyle name="Énfasis2 4 2" xfId="594" xr:uid="{00000000-0005-0000-0000-00006A020000}"/>
    <cellStyle name="Énfasis2 4 3" xfId="595" xr:uid="{00000000-0005-0000-0000-00006B020000}"/>
    <cellStyle name="Énfasis2 4 4" xfId="596" xr:uid="{00000000-0005-0000-0000-00006C020000}"/>
    <cellStyle name="Énfasis2 4 5" xfId="597" xr:uid="{00000000-0005-0000-0000-00006D020000}"/>
    <cellStyle name="Énfasis2 5" xfId="598" xr:uid="{00000000-0005-0000-0000-00006E020000}"/>
    <cellStyle name="Énfasis2 5 2" xfId="599" xr:uid="{00000000-0005-0000-0000-00006F020000}"/>
    <cellStyle name="Énfasis2 5 3" xfId="600" xr:uid="{00000000-0005-0000-0000-000070020000}"/>
    <cellStyle name="Énfasis2 5 4" xfId="601" xr:uid="{00000000-0005-0000-0000-000071020000}"/>
    <cellStyle name="Énfasis2 5 5" xfId="602" xr:uid="{00000000-0005-0000-0000-000072020000}"/>
    <cellStyle name="Énfasis2 6" xfId="603" xr:uid="{00000000-0005-0000-0000-000073020000}"/>
    <cellStyle name="Énfasis2 7" xfId="604" xr:uid="{00000000-0005-0000-0000-000074020000}"/>
    <cellStyle name="Énfasis2 8" xfId="605" xr:uid="{00000000-0005-0000-0000-000075020000}"/>
    <cellStyle name="Énfasis2 9" xfId="606" xr:uid="{00000000-0005-0000-0000-000076020000}"/>
    <cellStyle name="Énfasis3 2" xfId="608" xr:uid="{00000000-0005-0000-0000-000077020000}"/>
    <cellStyle name="Énfasis3 2 2" xfId="609" xr:uid="{00000000-0005-0000-0000-000078020000}"/>
    <cellStyle name="Énfasis3 2 3" xfId="610" xr:uid="{00000000-0005-0000-0000-000079020000}"/>
    <cellStyle name="Énfasis3 2 4" xfId="611" xr:uid="{00000000-0005-0000-0000-00007A020000}"/>
    <cellStyle name="Énfasis3 2 5" xfId="612" xr:uid="{00000000-0005-0000-0000-00007B020000}"/>
    <cellStyle name="Énfasis3 2 6" xfId="613" xr:uid="{00000000-0005-0000-0000-00007C020000}"/>
    <cellStyle name="Énfasis3 3" xfId="614" xr:uid="{00000000-0005-0000-0000-00007D020000}"/>
    <cellStyle name="Énfasis3 3 2" xfId="615" xr:uid="{00000000-0005-0000-0000-00007E020000}"/>
    <cellStyle name="Énfasis3 3 3" xfId="616" xr:uid="{00000000-0005-0000-0000-00007F020000}"/>
    <cellStyle name="Énfasis3 3 4" xfId="617" xr:uid="{00000000-0005-0000-0000-000080020000}"/>
    <cellStyle name="Énfasis3 3 5" xfId="618" xr:uid="{00000000-0005-0000-0000-000081020000}"/>
    <cellStyle name="Énfasis3 4" xfId="619" xr:uid="{00000000-0005-0000-0000-000082020000}"/>
    <cellStyle name="Énfasis3 4 2" xfId="620" xr:uid="{00000000-0005-0000-0000-000083020000}"/>
    <cellStyle name="Énfasis3 4 3" xfId="621" xr:uid="{00000000-0005-0000-0000-000084020000}"/>
    <cellStyle name="Énfasis3 4 4" xfId="622" xr:uid="{00000000-0005-0000-0000-000085020000}"/>
    <cellStyle name="Énfasis3 4 5" xfId="623" xr:uid="{00000000-0005-0000-0000-000086020000}"/>
    <cellStyle name="Énfasis3 5" xfId="624" xr:uid="{00000000-0005-0000-0000-000087020000}"/>
    <cellStyle name="Énfasis3 5 2" xfId="625" xr:uid="{00000000-0005-0000-0000-000088020000}"/>
    <cellStyle name="Énfasis3 5 3" xfId="626" xr:uid="{00000000-0005-0000-0000-000089020000}"/>
    <cellStyle name="Énfasis3 5 4" xfId="627" xr:uid="{00000000-0005-0000-0000-00008A020000}"/>
    <cellStyle name="Énfasis3 5 5" xfId="628" xr:uid="{00000000-0005-0000-0000-00008B020000}"/>
    <cellStyle name="Énfasis3 6" xfId="629" xr:uid="{00000000-0005-0000-0000-00008C020000}"/>
    <cellStyle name="Énfasis3 6 2" xfId="630" xr:uid="{00000000-0005-0000-0000-00008D020000}"/>
    <cellStyle name="Énfasis3 7" xfId="631" xr:uid="{00000000-0005-0000-0000-00008E020000}"/>
    <cellStyle name="Énfasis3 8" xfId="632" xr:uid="{00000000-0005-0000-0000-00008F020000}"/>
    <cellStyle name="Énfasis3 9" xfId="633" xr:uid="{00000000-0005-0000-0000-000090020000}"/>
    <cellStyle name="Énfasis4 2" xfId="635" xr:uid="{00000000-0005-0000-0000-000091020000}"/>
    <cellStyle name="Énfasis4 2 2" xfId="636" xr:uid="{00000000-0005-0000-0000-000092020000}"/>
    <cellStyle name="Énfasis4 2 3" xfId="637" xr:uid="{00000000-0005-0000-0000-000093020000}"/>
    <cellStyle name="Énfasis4 2 4" xfId="638" xr:uid="{00000000-0005-0000-0000-000094020000}"/>
    <cellStyle name="Énfasis4 2 5" xfId="639" xr:uid="{00000000-0005-0000-0000-000095020000}"/>
    <cellStyle name="Énfasis4 2 6" xfId="640" xr:uid="{00000000-0005-0000-0000-000096020000}"/>
    <cellStyle name="Énfasis4 3" xfId="641" xr:uid="{00000000-0005-0000-0000-000097020000}"/>
    <cellStyle name="Énfasis4 3 2" xfId="642" xr:uid="{00000000-0005-0000-0000-000098020000}"/>
    <cellStyle name="Énfasis4 3 3" xfId="643" xr:uid="{00000000-0005-0000-0000-000099020000}"/>
    <cellStyle name="Énfasis4 3 4" xfId="644" xr:uid="{00000000-0005-0000-0000-00009A020000}"/>
    <cellStyle name="Énfasis4 3 5" xfId="645" xr:uid="{00000000-0005-0000-0000-00009B020000}"/>
    <cellStyle name="Énfasis4 4" xfId="646" xr:uid="{00000000-0005-0000-0000-00009C020000}"/>
    <cellStyle name="Énfasis4 4 2" xfId="647" xr:uid="{00000000-0005-0000-0000-00009D020000}"/>
    <cellStyle name="Énfasis4 4 3" xfId="648" xr:uid="{00000000-0005-0000-0000-00009E020000}"/>
    <cellStyle name="Énfasis4 4 4" xfId="649" xr:uid="{00000000-0005-0000-0000-00009F020000}"/>
    <cellStyle name="Énfasis4 4 5" xfId="650" xr:uid="{00000000-0005-0000-0000-0000A0020000}"/>
    <cellStyle name="Énfasis4 5" xfId="651" xr:uid="{00000000-0005-0000-0000-0000A1020000}"/>
    <cellStyle name="Énfasis4 5 2" xfId="652" xr:uid="{00000000-0005-0000-0000-0000A2020000}"/>
    <cellStyle name="Énfasis4 5 3" xfId="653" xr:uid="{00000000-0005-0000-0000-0000A3020000}"/>
    <cellStyle name="Énfasis4 5 4" xfId="654" xr:uid="{00000000-0005-0000-0000-0000A4020000}"/>
    <cellStyle name="Énfasis4 5 5" xfId="655" xr:uid="{00000000-0005-0000-0000-0000A5020000}"/>
    <cellStyle name="Énfasis4 6" xfId="656" xr:uid="{00000000-0005-0000-0000-0000A6020000}"/>
    <cellStyle name="Énfasis4 6 2" xfId="657" xr:uid="{00000000-0005-0000-0000-0000A7020000}"/>
    <cellStyle name="Énfasis4 7" xfId="658" xr:uid="{00000000-0005-0000-0000-0000A8020000}"/>
    <cellStyle name="Énfasis4 8" xfId="659" xr:uid="{00000000-0005-0000-0000-0000A9020000}"/>
    <cellStyle name="Énfasis4 9" xfId="660" xr:uid="{00000000-0005-0000-0000-0000AA020000}"/>
    <cellStyle name="Énfasis5 2" xfId="662" xr:uid="{00000000-0005-0000-0000-0000AB020000}"/>
    <cellStyle name="Énfasis5 2 2" xfId="663" xr:uid="{00000000-0005-0000-0000-0000AC020000}"/>
    <cellStyle name="Énfasis5 2 3" xfId="664" xr:uid="{00000000-0005-0000-0000-0000AD020000}"/>
    <cellStyle name="Énfasis5 2 4" xfId="665" xr:uid="{00000000-0005-0000-0000-0000AE020000}"/>
    <cellStyle name="Énfasis5 2 5" xfId="666" xr:uid="{00000000-0005-0000-0000-0000AF020000}"/>
    <cellStyle name="Énfasis5 2 6" xfId="667" xr:uid="{00000000-0005-0000-0000-0000B0020000}"/>
    <cellStyle name="Énfasis5 3" xfId="668" xr:uid="{00000000-0005-0000-0000-0000B1020000}"/>
    <cellStyle name="Énfasis5 3 2" xfId="669" xr:uid="{00000000-0005-0000-0000-0000B2020000}"/>
    <cellStyle name="Énfasis5 3 3" xfId="670" xr:uid="{00000000-0005-0000-0000-0000B3020000}"/>
    <cellStyle name="Énfasis5 3 4" xfId="671" xr:uid="{00000000-0005-0000-0000-0000B4020000}"/>
    <cellStyle name="Énfasis5 3 5" xfId="672" xr:uid="{00000000-0005-0000-0000-0000B5020000}"/>
    <cellStyle name="Énfasis5 4" xfId="673" xr:uid="{00000000-0005-0000-0000-0000B6020000}"/>
    <cellStyle name="Énfasis5 4 2" xfId="674" xr:uid="{00000000-0005-0000-0000-0000B7020000}"/>
    <cellStyle name="Énfasis5 4 3" xfId="675" xr:uid="{00000000-0005-0000-0000-0000B8020000}"/>
    <cellStyle name="Énfasis5 4 4" xfId="676" xr:uid="{00000000-0005-0000-0000-0000B9020000}"/>
    <cellStyle name="Énfasis5 4 5" xfId="677" xr:uid="{00000000-0005-0000-0000-0000BA020000}"/>
    <cellStyle name="Énfasis5 5" xfId="678" xr:uid="{00000000-0005-0000-0000-0000BB020000}"/>
    <cellStyle name="Énfasis5 5 2" xfId="679" xr:uid="{00000000-0005-0000-0000-0000BC020000}"/>
    <cellStyle name="Énfasis5 5 3" xfId="680" xr:uid="{00000000-0005-0000-0000-0000BD020000}"/>
    <cellStyle name="Énfasis5 5 4" xfId="681" xr:uid="{00000000-0005-0000-0000-0000BE020000}"/>
    <cellStyle name="Énfasis5 5 5" xfId="682" xr:uid="{00000000-0005-0000-0000-0000BF020000}"/>
    <cellStyle name="Énfasis5 6" xfId="683" xr:uid="{00000000-0005-0000-0000-0000C0020000}"/>
    <cellStyle name="Énfasis5 6 2" xfId="684" xr:uid="{00000000-0005-0000-0000-0000C1020000}"/>
    <cellStyle name="Énfasis5 7" xfId="685" xr:uid="{00000000-0005-0000-0000-0000C2020000}"/>
    <cellStyle name="Énfasis5 8" xfId="686" xr:uid="{00000000-0005-0000-0000-0000C3020000}"/>
    <cellStyle name="Énfasis5 9" xfId="687" xr:uid="{00000000-0005-0000-0000-0000C4020000}"/>
    <cellStyle name="Énfasis6 2" xfId="689" xr:uid="{00000000-0005-0000-0000-0000C5020000}"/>
    <cellStyle name="Énfasis6 2 2" xfId="690" xr:uid="{00000000-0005-0000-0000-0000C6020000}"/>
    <cellStyle name="Énfasis6 2 3" xfId="691" xr:uid="{00000000-0005-0000-0000-0000C7020000}"/>
    <cellStyle name="Énfasis6 2 4" xfId="692" xr:uid="{00000000-0005-0000-0000-0000C8020000}"/>
    <cellStyle name="Énfasis6 2 5" xfId="693" xr:uid="{00000000-0005-0000-0000-0000C9020000}"/>
    <cellStyle name="Énfasis6 2 6" xfId="694" xr:uid="{00000000-0005-0000-0000-0000CA020000}"/>
    <cellStyle name="Énfasis6 3" xfId="695" xr:uid="{00000000-0005-0000-0000-0000CB020000}"/>
    <cellStyle name="Énfasis6 3 2" xfId="696" xr:uid="{00000000-0005-0000-0000-0000CC020000}"/>
    <cellStyle name="Énfasis6 3 3" xfId="697" xr:uid="{00000000-0005-0000-0000-0000CD020000}"/>
    <cellStyle name="Énfasis6 3 4" xfId="698" xr:uid="{00000000-0005-0000-0000-0000CE020000}"/>
    <cellStyle name="Énfasis6 3 5" xfId="699" xr:uid="{00000000-0005-0000-0000-0000CF020000}"/>
    <cellStyle name="Énfasis6 4" xfId="700" xr:uid="{00000000-0005-0000-0000-0000D0020000}"/>
    <cellStyle name="Énfasis6 4 2" xfId="701" xr:uid="{00000000-0005-0000-0000-0000D1020000}"/>
    <cellStyle name="Énfasis6 4 3" xfId="702" xr:uid="{00000000-0005-0000-0000-0000D2020000}"/>
    <cellStyle name="Énfasis6 4 4" xfId="703" xr:uid="{00000000-0005-0000-0000-0000D3020000}"/>
    <cellStyle name="Énfasis6 4 5" xfId="704" xr:uid="{00000000-0005-0000-0000-0000D4020000}"/>
    <cellStyle name="Énfasis6 5" xfId="705" xr:uid="{00000000-0005-0000-0000-0000D5020000}"/>
    <cellStyle name="Énfasis6 5 2" xfId="706" xr:uid="{00000000-0005-0000-0000-0000D6020000}"/>
    <cellStyle name="Énfasis6 5 3" xfId="707" xr:uid="{00000000-0005-0000-0000-0000D7020000}"/>
    <cellStyle name="Énfasis6 5 4" xfId="708" xr:uid="{00000000-0005-0000-0000-0000D8020000}"/>
    <cellStyle name="Énfasis6 5 5" xfId="709" xr:uid="{00000000-0005-0000-0000-0000D9020000}"/>
    <cellStyle name="Énfasis6 6" xfId="710" xr:uid="{00000000-0005-0000-0000-0000DA020000}"/>
    <cellStyle name="Énfasis6 6 2" xfId="711" xr:uid="{00000000-0005-0000-0000-0000DB020000}"/>
    <cellStyle name="Énfasis6 7" xfId="712" xr:uid="{00000000-0005-0000-0000-0000DC020000}"/>
    <cellStyle name="Énfasis6 8" xfId="713" xr:uid="{00000000-0005-0000-0000-0000DD020000}"/>
    <cellStyle name="Énfasis6 9" xfId="714" xr:uid="{00000000-0005-0000-0000-0000DE020000}"/>
    <cellStyle name="Entrada 2" xfId="715" xr:uid="{00000000-0005-0000-0000-0000E0020000}"/>
    <cellStyle name="Entrada 2 2" xfId="716" xr:uid="{00000000-0005-0000-0000-0000E1020000}"/>
    <cellStyle name="Entrada 2 3" xfId="717" xr:uid="{00000000-0005-0000-0000-0000E2020000}"/>
    <cellStyle name="Entrada 2 4" xfId="718" xr:uid="{00000000-0005-0000-0000-0000E3020000}"/>
    <cellStyle name="Entrada 2 5" xfId="719" xr:uid="{00000000-0005-0000-0000-0000E4020000}"/>
    <cellStyle name="Entrada 2 6" xfId="720" xr:uid="{00000000-0005-0000-0000-0000E5020000}"/>
    <cellStyle name="Entrada 3" xfId="721" xr:uid="{00000000-0005-0000-0000-0000E6020000}"/>
    <cellStyle name="Entrada 3 2" xfId="722" xr:uid="{00000000-0005-0000-0000-0000E7020000}"/>
    <cellStyle name="Entrada 3 3" xfId="723" xr:uid="{00000000-0005-0000-0000-0000E8020000}"/>
    <cellStyle name="Entrada 3 4" xfId="724" xr:uid="{00000000-0005-0000-0000-0000E9020000}"/>
    <cellStyle name="Entrada 3 5" xfId="725" xr:uid="{00000000-0005-0000-0000-0000EA020000}"/>
    <cellStyle name="Entrada 4" xfId="726" xr:uid="{00000000-0005-0000-0000-0000EB020000}"/>
    <cellStyle name="Entrada 4 2" xfId="727" xr:uid="{00000000-0005-0000-0000-0000EC020000}"/>
    <cellStyle name="Entrada 4 3" xfId="728" xr:uid="{00000000-0005-0000-0000-0000ED020000}"/>
    <cellStyle name="Entrada 4 4" xfId="729" xr:uid="{00000000-0005-0000-0000-0000EE020000}"/>
    <cellStyle name="Entrada 4 5" xfId="730" xr:uid="{00000000-0005-0000-0000-0000EF020000}"/>
    <cellStyle name="Entrada 5" xfId="731" xr:uid="{00000000-0005-0000-0000-0000F0020000}"/>
    <cellStyle name="Entrada 5 2" xfId="732" xr:uid="{00000000-0005-0000-0000-0000F1020000}"/>
    <cellStyle name="Entrada 5 3" xfId="733" xr:uid="{00000000-0005-0000-0000-0000F2020000}"/>
    <cellStyle name="Entrada 5 4" xfId="734" xr:uid="{00000000-0005-0000-0000-0000F3020000}"/>
    <cellStyle name="Entrada 5 5" xfId="735" xr:uid="{00000000-0005-0000-0000-0000F4020000}"/>
    <cellStyle name="Entrada 6" xfId="736" xr:uid="{00000000-0005-0000-0000-0000F5020000}"/>
    <cellStyle name="Entrada 6 2" xfId="737" xr:uid="{00000000-0005-0000-0000-0000F6020000}"/>
    <cellStyle name="Entrada 7" xfId="738" xr:uid="{00000000-0005-0000-0000-0000F7020000}"/>
    <cellStyle name="Entrada 8" xfId="739" xr:uid="{00000000-0005-0000-0000-0000F8020000}"/>
    <cellStyle name="Entrada 9" xfId="740" xr:uid="{00000000-0005-0000-0000-0000F9020000}"/>
    <cellStyle name="Euro" xfId="741" xr:uid="{00000000-0005-0000-0000-0000FA020000}"/>
    <cellStyle name="Euro 2" xfId="1685" xr:uid="{00000000-0005-0000-0000-0000FB020000}"/>
    <cellStyle name="Explanatory Text" xfId="1539" xr:uid="{00000000-0005-0000-0000-0000FC020000}"/>
    <cellStyle name="Good" xfId="742" builtinId="26" customBuiltin="1"/>
    <cellStyle name="Good 2" xfId="743" xr:uid="{00000000-0005-0000-0000-0000FD020000}"/>
    <cellStyle name="Good 3" xfId="744" xr:uid="{00000000-0005-0000-0000-0000FE020000}"/>
    <cellStyle name="Good 4" xfId="745" xr:uid="{00000000-0005-0000-0000-0000FF020000}"/>
    <cellStyle name="Good 5" xfId="746" xr:uid="{00000000-0005-0000-0000-000000030000}"/>
    <cellStyle name="Heading 1" xfId="747" builtinId="16" customBuiltin="1"/>
    <cellStyle name="Heading 2" xfId="1567" xr:uid="{00000000-0005-0000-0000-000001030000}"/>
    <cellStyle name="Heading 3" xfId="1594" xr:uid="{00000000-0005-0000-0000-000002030000}"/>
    <cellStyle name="Heading 4" xfId="748" builtinId="19" customBuiltin="1"/>
    <cellStyle name="Heading 4 2" xfId="749" xr:uid="{00000000-0005-0000-0000-000003030000}"/>
    <cellStyle name="Heading 4 3" xfId="750" xr:uid="{00000000-0005-0000-0000-000004030000}"/>
    <cellStyle name="Heading 4 4" xfId="751" xr:uid="{00000000-0005-0000-0000-000005030000}"/>
    <cellStyle name="Heading 4 5" xfId="752" xr:uid="{00000000-0005-0000-0000-000006030000}"/>
    <cellStyle name="Hyperlink" xfId="1664" builtinId="8"/>
    <cellStyle name="Incorrecto 2" xfId="754" xr:uid="{00000000-0005-0000-0000-000008030000}"/>
    <cellStyle name="Incorrecto 2 2" xfId="755" xr:uid="{00000000-0005-0000-0000-000009030000}"/>
    <cellStyle name="Incorrecto 2 3" xfId="756" xr:uid="{00000000-0005-0000-0000-00000A030000}"/>
    <cellStyle name="Incorrecto 2 4" xfId="757" xr:uid="{00000000-0005-0000-0000-00000B030000}"/>
    <cellStyle name="Incorrecto 2 5" xfId="758" xr:uid="{00000000-0005-0000-0000-00000C030000}"/>
    <cellStyle name="Incorrecto 2 6" xfId="759" xr:uid="{00000000-0005-0000-0000-00000D030000}"/>
    <cellStyle name="Incorrecto 3" xfId="760" xr:uid="{00000000-0005-0000-0000-00000E030000}"/>
    <cellStyle name="Incorrecto 3 2" xfId="761" xr:uid="{00000000-0005-0000-0000-00000F030000}"/>
    <cellStyle name="Incorrecto 3 3" xfId="762" xr:uid="{00000000-0005-0000-0000-000010030000}"/>
    <cellStyle name="Incorrecto 3 4" xfId="763" xr:uid="{00000000-0005-0000-0000-000011030000}"/>
    <cellStyle name="Incorrecto 3 5" xfId="764" xr:uid="{00000000-0005-0000-0000-000012030000}"/>
    <cellStyle name="Incorrecto 4" xfId="765" xr:uid="{00000000-0005-0000-0000-000013030000}"/>
    <cellStyle name="Incorrecto 4 2" xfId="766" xr:uid="{00000000-0005-0000-0000-000014030000}"/>
    <cellStyle name="Incorrecto 4 3" xfId="767" xr:uid="{00000000-0005-0000-0000-000015030000}"/>
    <cellStyle name="Incorrecto 4 4" xfId="768" xr:uid="{00000000-0005-0000-0000-000016030000}"/>
    <cellStyle name="Incorrecto 4 5" xfId="769" xr:uid="{00000000-0005-0000-0000-000017030000}"/>
    <cellStyle name="Incorrecto 5" xfId="770" xr:uid="{00000000-0005-0000-0000-000018030000}"/>
    <cellStyle name="Incorrecto 5 2" xfId="771" xr:uid="{00000000-0005-0000-0000-000019030000}"/>
    <cellStyle name="Incorrecto 5 3" xfId="772" xr:uid="{00000000-0005-0000-0000-00001A030000}"/>
    <cellStyle name="Incorrecto 5 4" xfId="773" xr:uid="{00000000-0005-0000-0000-00001B030000}"/>
    <cellStyle name="Incorrecto 5 5" xfId="774" xr:uid="{00000000-0005-0000-0000-00001C030000}"/>
    <cellStyle name="Incorrecto 6" xfId="775" xr:uid="{00000000-0005-0000-0000-00001D030000}"/>
    <cellStyle name="Incorrecto 6 2" xfId="776" xr:uid="{00000000-0005-0000-0000-00001E030000}"/>
    <cellStyle name="Incorrecto 7" xfId="777" xr:uid="{00000000-0005-0000-0000-00001F030000}"/>
    <cellStyle name="Incorrecto 8" xfId="778" xr:uid="{00000000-0005-0000-0000-000020030000}"/>
    <cellStyle name="Incorrecto 9" xfId="779" xr:uid="{00000000-0005-0000-0000-000021030000}"/>
    <cellStyle name="Input" xfId="780" builtinId="20" customBuiltin="1"/>
    <cellStyle name="Input 2" xfId="781" xr:uid="{00000000-0005-0000-0000-000022030000}"/>
    <cellStyle name="Input 3" xfId="782" xr:uid="{00000000-0005-0000-0000-000023030000}"/>
    <cellStyle name="Input 4" xfId="783" xr:uid="{00000000-0005-0000-0000-000024030000}"/>
    <cellStyle name="Input 5" xfId="784" xr:uid="{00000000-0005-0000-0000-000025030000}"/>
    <cellStyle name="Komórka po??czona" xfId="785" xr:uid="{00000000-0005-0000-0000-000027030000}"/>
    <cellStyle name="Komórka połączona" xfId="786" xr:uid="{00000000-0005-0000-0000-000028030000}"/>
    <cellStyle name="Komórka zaznaczona" xfId="787" xr:uid="{00000000-0005-0000-0000-000029030000}"/>
    <cellStyle name="Linked Cell" xfId="788" builtinId="24" customBuiltin="1"/>
    <cellStyle name="Linked Cell 2" xfId="789" xr:uid="{00000000-0005-0000-0000-00002A030000}"/>
    <cellStyle name="Linked Cell 3" xfId="790" xr:uid="{00000000-0005-0000-0000-00002B030000}"/>
    <cellStyle name="Linked Cell 4" xfId="791" xr:uid="{00000000-0005-0000-0000-00002C030000}"/>
    <cellStyle name="Linked Cell 5" xfId="792" xr:uid="{00000000-0005-0000-0000-00002D030000}"/>
    <cellStyle name="Millares [0] 2" xfId="1663" xr:uid="{00000000-0005-0000-0000-000030030000}"/>
    <cellStyle name="Millares [0] 2 2" xfId="794" xr:uid="{00000000-0005-0000-0000-000031030000}"/>
    <cellStyle name="Millares [0] 2 2 2" xfId="1689" xr:uid="{00000000-0005-0000-0000-000032030000}"/>
    <cellStyle name="Millares [0] 2 3" xfId="1777" xr:uid="{00000000-0005-0000-0000-000033030000}"/>
    <cellStyle name="Millares [0] 3" xfId="1775" xr:uid="{00000000-0005-0000-0000-000034030000}"/>
    <cellStyle name="Millares 10" xfId="1681" xr:uid="{00000000-0005-0000-0000-000035030000}"/>
    <cellStyle name="Millares 11" xfId="1686" xr:uid="{00000000-0005-0000-0000-000036030000}"/>
    <cellStyle name="Millares 12" xfId="1682" xr:uid="{00000000-0005-0000-0000-000037030000}"/>
    <cellStyle name="Millares 13" xfId="1778" xr:uid="{00000000-0005-0000-0000-000038030000}"/>
    <cellStyle name="Millares 14" xfId="1683" xr:uid="{00000000-0005-0000-0000-000039030000}"/>
    <cellStyle name="Millares 15" xfId="1779" xr:uid="{00000000-0005-0000-0000-00003A030000}"/>
    <cellStyle name="Millares 16" xfId="1684" xr:uid="{00000000-0005-0000-0000-00003B030000}"/>
    <cellStyle name="Millares 2" xfId="795" xr:uid="{00000000-0005-0000-0000-00003C030000}"/>
    <cellStyle name="Millares 2 2" xfId="1690" xr:uid="{00000000-0005-0000-0000-00003D030000}"/>
    <cellStyle name="Millares 3" xfId="796" xr:uid="{00000000-0005-0000-0000-00003E030000}"/>
    <cellStyle name="Millares 3 2" xfId="797" xr:uid="{00000000-0005-0000-0000-00003F030000}"/>
    <cellStyle name="Millares 3 2 2" xfId="1692" xr:uid="{00000000-0005-0000-0000-000040030000}"/>
    <cellStyle name="Millares 3 3" xfId="1691" xr:uid="{00000000-0005-0000-0000-000041030000}"/>
    <cellStyle name="Millares 4" xfId="798" xr:uid="{00000000-0005-0000-0000-000042030000}"/>
    <cellStyle name="Millares 4 2" xfId="1693" xr:uid="{00000000-0005-0000-0000-000043030000}"/>
    <cellStyle name="Millares 5" xfId="799" xr:uid="{00000000-0005-0000-0000-000044030000}"/>
    <cellStyle name="Millares 6" xfId="1662" xr:uid="{00000000-0005-0000-0000-000045030000}"/>
    <cellStyle name="Millares 6 2" xfId="1776" xr:uid="{00000000-0005-0000-0000-000046030000}"/>
    <cellStyle name="Millares 7" xfId="800" xr:uid="{00000000-0005-0000-0000-000047030000}"/>
    <cellStyle name="Millares 8" xfId="1688" xr:uid="{00000000-0005-0000-0000-000048030000}"/>
    <cellStyle name="Millares 9" xfId="1687" xr:uid="{00000000-0005-0000-0000-000049030000}"/>
    <cellStyle name="Millares_Analisis Razonado diciemb 08" xfId="801" xr:uid="{00000000-0005-0000-0000-00004A030000}"/>
    <cellStyle name="Moneda [0] 2 2" xfId="802" xr:uid="{00000000-0005-0000-0000-00004B030000}"/>
    <cellStyle name="Moneda [0] 2 2 2" xfId="1694" xr:uid="{00000000-0005-0000-0000-00004C030000}"/>
    <cellStyle name="Moneda 2" xfId="803" xr:uid="{00000000-0005-0000-0000-00004D030000}"/>
    <cellStyle name="Moneda 2 2" xfId="804" xr:uid="{00000000-0005-0000-0000-00004E030000}"/>
    <cellStyle name="Moneda 2 2 2" xfId="1696" xr:uid="{00000000-0005-0000-0000-00004F030000}"/>
    <cellStyle name="Moneda 2 3" xfId="805" xr:uid="{00000000-0005-0000-0000-000050030000}"/>
    <cellStyle name="Moneda 2 3 2" xfId="1697" xr:uid="{00000000-0005-0000-0000-000051030000}"/>
    <cellStyle name="Moneda 2 4" xfId="1695" xr:uid="{00000000-0005-0000-0000-000052030000}"/>
    <cellStyle name="Nag?ówek 1" xfId="806" xr:uid="{00000000-0005-0000-0000-000053030000}"/>
    <cellStyle name="Nag?ówek 2" xfId="807" xr:uid="{00000000-0005-0000-0000-000054030000}"/>
    <cellStyle name="Nag?ówek 3" xfId="808" xr:uid="{00000000-0005-0000-0000-000055030000}"/>
    <cellStyle name="Nag?ówek 4" xfId="809" xr:uid="{00000000-0005-0000-0000-000056030000}"/>
    <cellStyle name="Nagłówek 1" xfId="810" xr:uid="{00000000-0005-0000-0000-000057030000}"/>
    <cellStyle name="Nagłówek 2" xfId="811" xr:uid="{00000000-0005-0000-0000-000058030000}"/>
    <cellStyle name="Nagłówek 3" xfId="812" xr:uid="{00000000-0005-0000-0000-000059030000}"/>
    <cellStyle name="Nagłówek 4" xfId="813" xr:uid="{00000000-0005-0000-0000-00005A030000}"/>
    <cellStyle name="Neutral" xfId="814" builtinId="28" customBuiltin="1"/>
    <cellStyle name="Neutral 2" xfId="815" xr:uid="{00000000-0005-0000-0000-00005C030000}"/>
    <cellStyle name="Neutral 2 2" xfId="816" xr:uid="{00000000-0005-0000-0000-00005D030000}"/>
    <cellStyle name="Neutral 2 3" xfId="817" xr:uid="{00000000-0005-0000-0000-00005E030000}"/>
    <cellStyle name="Neutral 2 4" xfId="818" xr:uid="{00000000-0005-0000-0000-00005F030000}"/>
    <cellStyle name="Neutral 2 5" xfId="819" xr:uid="{00000000-0005-0000-0000-000060030000}"/>
    <cellStyle name="Neutral 2 6" xfId="820" xr:uid="{00000000-0005-0000-0000-000061030000}"/>
    <cellStyle name="Neutral 3" xfId="821" xr:uid="{00000000-0005-0000-0000-000062030000}"/>
    <cellStyle name="Neutral 3 2" xfId="822" xr:uid="{00000000-0005-0000-0000-000063030000}"/>
    <cellStyle name="Neutral 3 3" xfId="823" xr:uid="{00000000-0005-0000-0000-000064030000}"/>
    <cellStyle name="Neutral 3 4" xfId="824" xr:uid="{00000000-0005-0000-0000-000065030000}"/>
    <cellStyle name="Neutral 3 5" xfId="825" xr:uid="{00000000-0005-0000-0000-000066030000}"/>
    <cellStyle name="Neutral 4" xfId="826" xr:uid="{00000000-0005-0000-0000-000067030000}"/>
    <cellStyle name="Neutral 4 2" xfId="827" xr:uid="{00000000-0005-0000-0000-000068030000}"/>
    <cellStyle name="Neutral 4 3" xfId="828" xr:uid="{00000000-0005-0000-0000-000069030000}"/>
    <cellStyle name="Neutral 4 4" xfId="829" xr:uid="{00000000-0005-0000-0000-00006A030000}"/>
    <cellStyle name="Neutral 4 5" xfId="830" xr:uid="{00000000-0005-0000-0000-00006B030000}"/>
    <cellStyle name="Neutral 5" xfId="831" xr:uid="{00000000-0005-0000-0000-00006C030000}"/>
    <cellStyle name="Neutral 5 2" xfId="832" xr:uid="{00000000-0005-0000-0000-00006D030000}"/>
    <cellStyle name="Neutral 5 3" xfId="833" xr:uid="{00000000-0005-0000-0000-00006E030000}"/>
    <cellStyle name="Neutral 5 4" xfId="834" xr:uid="{00000000-0005-0000-0000-00006F030000}"/>
    <cellStyle name="Neutral 5 5" xfId="835" xr:uid="{00000000-0005-0000-0000-000070030000}"/>
    <cellStyle name="Neutral 6" xfId="836" xr:uid="{00000000-0005-0000-0000-000071030000}"/>
    <cellStyle name="Neutral 6 2" xfId="837" xr:uid="{00000000-0005-0000-0000-000072030000}"/>
    <cellStyle name="Neutral 7" xfId="838" xr:uid="{00000000-0005-0000-0000-000073030000}"/>
    <cellStyle name="Neutral 8" xfId="839" xr:uid="{00000000-0005-0000-0000-000074030000}"/>
    <cellStyle name="Neutral 9" xfId="840" xr:uid="{00000000-0005-0000-0000-000075030000}"/>
    <cellStyle name="Neutralne" xfId="841" xr:uid="{00000000-0005-0000-0000-000076030000}"/>
    <cellStyle name="Normal" xfId="0" builtinId="0"/>
    <cellStyle name="Normal 10" xfId="842" xr:uid="{00000000-0005-0000-0000-000078030000}"/>
    <cellStyle name="Normal 10 2" xfId="843" xr:uid="{00000000-0005-0000-0000-000079030000}"/>
    <cellStyle name="Normal 10 2 2" xfId="1699" xr:uid="{00000000-0005-0000-0000-00007A030000}"/>
    <cellStyle name="Normal 10 3" xfId="1698" xr:uid="{00000000-0005-0000-0000-00007B030000}"/>
    <cellStyle name="Normal 11" xfId="844" xr:uid="{00000000-0005-0000-0000-00007C030000}"/>
    <cellStyle name="Normal 11 2" xfId="845" xr:uid="{00000000-0005-0000-0000-00007D030000}"/>
    <cellStyle name="Normal 11 2 2" xfId="1701" xr:uid="{00000000-0005-0000-0000-00007E030000}"/>
    <cellStyle name="Normal 11 3" xfId="1700" xr:uid="{00000000-0005-0000-0000-00007F030000}"/>
    <cellStyle name="Normal 12" xfId="846" xr:uid="{00000000-0005-0000-0000-000080030000}"/>
    <cellStyle name="Normal 12 2" xfId="847" xr:uid="{00000000-0005-0000-0000-000081030000}"/>
    <cellStyle name="Normal 12 2 2" xfId="1703" xr:uid="{00000000-0005-0000-0000-000082030000}"/>
    <cellStyle name="Normal 12 3" xfId="1702" xr:uid="{00000000-0005-0000-0000-000083030000}"/>
    <cellStyle name="Normal 13" xfId="848" xr:uid="{00000000-0005-0000-0000-000084030000}"/>
    <cellStyle name="Normal 13 2" xfId="849" xr:uid="{00000000-0005-0000-0000-000085030000}"/>
    <cellStyle name="Normal 13 2 2" xfId="1705" xr:uid="{00000000-0005-0000-0000-000086030000}"/>
    <cellStyle name="Normal 13 3" xfId="1704" xr:uid="{00000000-0005-0000-0000-000087030000}"/>
    <cellStyle name="Normal 14" xfId="850" xr:uid="{00000000-0005-0000-0000-000088030000}"/>
    <cellStyle name="Normal 14 2" xfId="1706" xr:uid="{00000000-0005-0000-0000-000089030000}"/>
    <cellStyle name="Normal 15" xfId="851" xr:uid="{00000000-0005-0000-0000-00008A030000}"/>
    <cellStyle name="Normal 15 2" xfId="852" xr:uid="{00000000-0005-0000-0000-00008B030000}"/>
    <cellStyle name="Normal 15 2 2" xfId="1708" xr:uid="{00000000-0005-0000-0000-00008C030000}"/>
    <cellStyle name="Normal 15 3" xfId="1707" xr:uid="{00000000-0005-0000-0000-00008D030000}"/>
    <cellStyle name="Normal 16" xfId="1658" xr:uid="{00000000-0005-0000-0000-00008E030000}"/>
    <cellStyle name="Normal 17" xfId="853" xr:uid="{00000000-0005-0000-0000-00008F030000}"/>
    <cellStyle name="Normal 18" xfId="1657" xr:uid="{00000000-0005-0000-0000-000090030000}"/>
    <cellStyle name="Normal 2" xfId="854" xr:uid="{00000000-0005-0000-0000-000091030000}"/>
    <cellStyle name="Normal 2 10" xfId="855" xr:uid="{00000000-0005-0000-0000-000092030000}"/>
    <cellStyle name="Normal 2 10 2" xfId="1709" xr:uid="{00000000-0005-0000-0000-000093030000}"/>
    <cellStyle name="Normal 2 11" xfId="856" xr:uid="{00000000-0005-0000-0000-000094030000}"/>
    <cellStyle name="Normal 2 12" xfId="857" xr:uid="{00000000-0005-0000-0000-000095030000}"/>
    <cellStyle name="Normal 2 13" xfId="1661" xr:uid="{00000000-0005-0000-0000-000096030000}"/>
    <cellStyle name="Normal 2 2" xfId="858" xr:uid="{00000000-0005-0000-0000-000097030000}"/>
    <cellStyle name="Normal 2 2 2" xfId="859" xr:uid="{00000000-0005-0000-0000-000098030000}"/>
    <cellStyle name="Normal 2 3" xfId="860" xr:uid="{00000000-0005-0000-0000-000099030000}"/>
    <cellStyle name="Normal 2 3 2" xfId="1710" xr:uid="{00000000-0005-0000-0000-00009A030000}"/>
    <cellStyle name="Normal 2 4" xfId="861" xr:uid="{00000000-0005-0000-0000-00009B030000}"/>
    <cellStyle name="Normal 2 4 2" xfId="1711" xr:uid="{00000000-0005-0000-0000-00009C030000}"/>
    <cellStyle name="Normal 2 5" xfId="862" xr:uid="{00000000-0005-0000-0000-00009D030000}"/>
    <cellStyle name="Normal 2 5 2" xfId="1712" xr:uid="{00000000-0005-0000-0000-00009E030000}"/>
    <cellStyle name="Normal 2 6" xfId="863" xr:uid="{00000000-0005-0000-0000-00009F030000}"/>
    <cellStyle name="Normal 2 6 2" xfId="1713" xr:uid="{00000000-0005-0000-0000-0000A0030000}"/>
    <cellStyle name="Normal 2 7" xfId="864" xr:uid="{00000000-0005-0000-0000-0000A1030000}"/>
    <cellStyle name="Normal 2 8" xfId="865" xr:uid="{00000000-0005-0000-0000-0000A2030000}"/>
    <cellStyle name="Normal 2 8 2" xfId="1714" xr:uid="{00000000-0005-0000-0000-0000A3030000}"/>
    <cellStyle name="Normal 2 9" xfId="866" xr:uid="{00000000-0005-0000-0000-0000A4030000}"/>
    <cellStyle name="Normal 2_Combinación de negocios - AA-IAMv3" xfId="867" xr:uid="{00000000-0005-0000-0000-0000A5030000}"/>
    <cellStyle name="Normal 3" xfId="868" xr:uid="{00000000-0005-0000-0000-0000A6030000}"/>
    <cellStyle name="Normal 3 2" xfId="869" xr:uid="{00000000-0005-0000-0000-0000A7030000}"/>
    <cellStyle name="Normal 3 2 2" xfId="1716" xr:uid="{00000000-0005-0000-0000-0000A8030000}"/>
    <cellStyle name="Normal 3 3" xfId="1715" xr:uid="{00000000-0005-0000-0000-0000A9030000}"/>
    <cellStyle name="Normal 4" xfId="870" xr:uid="{00000000-0005-0000-0000-0000AA030000}"/>
    <cellStyle name="Normal 5" xfId="871" xr:uid="{00000000-0005-0000-0000-0000AB030000}"/>
    <cellStyle name="Normal 6" xfId="872" xr:uid="{00000000-0005-0000-0000-0000AC030000}"/>
    <cellStyle name="Normal 6 2" xfId="873" xr:uid="{00000000-0005-0000-0000-0000AD030000}"/>
    <cellStyle name="Normal 6 2 2" xfId="1717" xr:uid="{00000000-0005-0000-0000-0000AE030000}"/>
    <cellStyle name="Normal 7" xfId="874" xr:uid="{00000000-0005-0000-0000-0000AF030000}"/>
    <cellStyle name="Normal 8" xfId="875" xr:uid="{00000000-0005-0000-0000-0000B0030000}"/>
    <cellStyle name="Normal 9" xfId="876" xr:uid="{00000000-0005-0000-0000-0000B1030000}"/>
    <cellStyle name="Notas 10" xfId="877" xr:uid="{00000000-0005-0000-0000-0000B3030000}"/>
    <cellStyle name="Notas 11" xfId="1718" xr:uid="{00000000-0005-0000-0000-0000B4030000}"/>
    <cellStyle name="Notas 2" xfId="878" xr:uid="{00000000-0005-0000-0000-0000B5030000}"/>
    <cellStyle name="Notas 2 2" xfId="879" xr:uid="{00000000-0005-0000-0000-0000B6030000}"/>
    <cellStyle name="Notas 2 3" xfId="880" xr:uid="{00000000-0005-0000-0000-0000B7030000}"/>
    <cellStyle name="Notas 2 4" xfId="881" xr:uid="{00000000-0005-0000-0000-0000B8030000}"/>
    <cellStyle name="Notas 2 5" xfId="882" xr:uid="{00000000-0005-0000-0000-0000B9030000}"/>
    <cellStyle name="Notas 2 6" xfId="883" xr:uid="{00000000-0005-0000-0000-0000BA030000}"/>
    <cellStyle name="Notas 3" xfId="884" xr:uid="{00000000-0005-0000-0000-0000BB030000}"/>
    <cellStyle name="Notas 3 2" xfId="885" xr:uid="{00000000-0005-0000-0000-0000BC030000}"/>
    <cellStyle name="Notas 3 3" xfId="886" xr:uid="{00000000-0005-0000-0000-0000BD030000}"/>
    <cellStyle name="Notas 3 4" xfId="887" xr:uid="{00000000-0005-0000-0000-0000BE030000}"/>
    <cellStyle name="Notas 3 5" xfId="888" xr:uid="{00000000-0005-0000-0000-0000BF030000}"/>
    <cellStyle name="Notas 4" xfId="889" xr:uid="{00000000-0005-0000-0000-0000C0030000}"/>
    <cellStyle name="Notas 4 2" xfId="890" xr:uid="{00000000-0005-0000-0000-0000C1030000}"/>
    <cellStyle name="Notas 4 3" xfId="891" xr:uid="{00000000-0005-0000-0000-0000C2030000}"/>
    <cellStyle name="Notas 4 4" xfId="892" xr:uid="{00000000-0005-0000-0000-0000C3030000}"/>
    <cellStyle name="Notas 4 5" xfId="893" xr:uid="{00000000-0005-0000-0000-0000C4030000}"/>
    <cellStyle name="Notas 5" xfId="894" xr:uid="{00000000-0005-0000-0000-0000C5030000}"/>
    <cellStyle name="Notas 5 2" xfId="895" xr:uid="{00000000-0005-0000-0000-0000C6030000}"/>
    <cellStyle name="Notas 5 3" xfId="896" xr:uid="{00000000-0005-0000-0000-0000C7030000}"/>
    <cellStyle name="Notas 5 4" xfId="897" xr:uid="{00000000-0005-0000-0000-0000C8030000}"/>
    <cellStyle name="Notas 5 5" xfId="898" xr:uid="{00000000-0005-0000-0000-0000C9030000}"/>
    <cellStyle name="Notas 6" xfId="899" xr:uid="{00000000-0005-0000-0000-0000CA030000}"/>
    <cellStyle name="Notas 6 2" xfId="900" xr:uid="{00000000-0005-0000-0000-0000CB030000}"/>
    <cellStyle name="Notas 6 2 2" xfId="1719" xr:uid="{00000000-0005-0000-0000-0000CC030000}"/>
    <cellStyle name="Notas 7" xfId="901" xr:uid="{00000000-0005-0000-0000-0000CD030000}"/>
    <cellStyle name="Notas 8" xfId="902" xr:uid="{00000000-0005-0000-0000-0000CE030000}"/>
    <cellStyle name="Notas 9" xfId="903" xr:uid="{00000000-0005-0000-0000-0000CF030000}"/>
    <cellStyle name="Note" xfId="904" builtinId="10" customBuiltin="1"/>
    <cellStyle name="Note 2" xfId="905" xr:uid="{00000000-0005-0000-0000-0000D0030000}"/>
    <cellStyle name="Note 3" xfId="906" xr:uid="{00000000-0005-0000-0000-0000D1030000}"/>
    <cellStyle name="Note 4" xfId="907" xr:uid="{00000000-0005-0000-0000-0000D2030000}"/>
    <cellStyle name="Note 5" xfId="908" xr:uid="{00000000-0005-0000-0000-0000D3030000}"/>
    <cellStyle name="Note 6" xfId="909" xr:uid="{00000000-0005-0000-0000-0000D4030000}"/>
    <cellStyle name="Note 7" xfId="910" xr:uid="{00000000-0005-0000-0000-0000D5030000}"/>
    <cellStyle name="Note 8" xfId="911" xr:uid="{00000000-0005-0000-0000-0000D6030000}"/>
    <cellStyle name="Obliczenia" xfId="912" xr:uid="{00000000-0005-0000-0000-0000D7030000}"/>
    <cellStyle name="Output" xfId="931" xr:uid="{00000000-0005-0000-0000-0000D8030000}"/>
    <cellStyle name="Percent" xfId="913" builtinId="5"/>
    <cellStyle name="Porcentaje 2" xfId="1659" xr:uid="{00000000-0005-0000-0000-0000DA030000}"/>
    <cellStyle name="Porcentual 10" xfId="914" xr:uid="{00000000-0005-0000-0000-0000DB030000}"/>
    <cellStyle name="Porcentual 10 2" xfId="915" xr:uid="{00000000-0005-0000-0000-0000DC030000}"/>
    <cellStyle name="Porcentual 10 2 2" xfId="1721" xr:uid="{00000000-0005-0000-0000-0000DD030000}"/>
    <cellStyle name="Porcentual 10 3" xfId="1720" xr:uid="{00000000-0005-0000-0000-0000DE030000}"/>
    <cellStyle name="Porcentual 11" xfId="916" xr:uid="{00000000-0005-0000-0000-0000DF030000}"/>
    <cellStyle name="Porcentual 11 2" xfId="917" xr:uid="{00000000-0005-0000-0000-0000E0030000}"/>
    <cellStyle name="Porcentual 11 2 2" xfId="1723" xr:uid="{00000000-0005-0000-0000-0000E1030000}"/>
    <cellStyle name="Porcentual 11 3" xfId="1722" xr:uid="{00000000-0005-0000-0000-0000E2030000}"/>
    <cellStyle name="Porcentual 2" xfId="918" xr:uid="{00000000-0005-0000-0000-0000E3030000}"/>
    <cellStyle name="Porcentual 2 2" xfId="919" xr:uid="{00000000-0005-0000-0000-0000E4030000}"/>
    <cellStyle name="Porcentual 2 3" xfId="1724" xr:uid="{00000000-0005-0000-0000-0000E5030000}"/>
    <cellStyle name="Porcentual 3" xfId="920" xr:uid="{00000000-0005-0000-0000-0000E6030000}"/>
    <cellStyle name="Porcentual 3 2" xfId="1725" xr:uid="{00000000-0005-0000-0000-0000E7030000}"/>
    <cellStyle name="Porcentual 4" xfId="921" xr:uid="{00000000-0005-0000-0000-0000E8030000}"/>
    <cellStyle name="Porcentual 4 2" xfId="922" xr:uid="{00000000-0005-0000-0000-0000E9030000}"/>
    <cellStyle name="Porcentual 5" xfId="923" xr:uid="{00000000-0005-0000-0000-0000EA030000}"/>
    <cellStyle name="Porcentual 5 2" xfId="924" xr:uid="{00000000-0005-0000-0000-0000EB030000}"/>
    <cellStyle name="Porcentual 5 2 2" xfId="1727" xr:uid="{00000000-0005-0000-0000-0000EC030000}"/>
    <cellStyle name="Porcentual 5 3" xfId="1726" xr:uid="{00000000-0005-0000-0000-0000ED030000}"/>
    <cellStyle name="Porcentual 6" xfId="925" xr:uid="{00000000-0005-0000-0000-0000EE030000}"/>
    <cellStyle name="Porcentual 7" xfId="926" xr:uid="{00000000-0005-0000-0000-0000EF030000}"/>
    <cellStyle name="Porcentual 7 2" xfId="927" xr:uid="{00000000-0005-0000-0000-0000F0030000}"/>
    <cellStyle name="Porcentual 8" xfId="928" xr:uid="{00000000-0005-0000-0000-0000F1030000}"/>
    <cellStyle name="Porcentual 8 2" xfId="929" xr:uid="{00000000-0005-0000-0000-0000F2030000}"/>
    <cellStyle name="Porcentual 8 2 2" xfId="1729" xr:uid="{00000000-0005-0000-0000-0000F3030000}"/>
    <cellStyle name="Porcentual 8 3" xfId="1728" xr:uid="{00000000-0005-0000-0000-0000F4030000}"/>
    <cellStyle name="Porcentual 9" xfId="930" xr:uid="{00000000-0005-0000-0000-0000F5030000}"/>
    <cellStyle name="Salida 2" xfId="932" xr:uid="{00000000-0005-0000-0000-0000F6030000}"/>
    <cellStyle name="Salida 2 2" xfId="933" xr:uid="{00000000-0005-0000-0000-0000F7030000}"/>
    <cellStyle name="Salida 2 3" xfId="934" xr:uid="{00000000-0005-0000-0000-0000F8030000}"/>
    <cellStyle name="Salida 2 4" xfId="935" xr:uid="{00000000-0005-0000-0000-0000F9030000}"/>
    <cellStyle name="Salida 2 5" xfId="936" xr:uid="{00000000-0005-0000-0000-0000FA030000}"/>
    <cellStyle name="Salida 2 6" xfId="937" xr:uid="{00000000-0005-0000-0000-0000FB030000}"/>
    <cellStyle name="Salida 3" xfId="938" xr:uid="{00000000-0005-0000-0000-0000FC030000}"/>
    <cellStyle name="Salida 3 2" xfId="939" xr:uid="{00000000-0005-0000-0000-0000FD030000}"/>
    <cellStyle name="Salida 3 3" xfId="940" xr:uid="{00000000-0005-0000-0000-0000FE030000}"/>
    <cellStyle name="Salida 3 4" xfId="941" xr:uid="{00000000-0005-0000-0000-0000FF030000}"/>
    <cellStyle name="Salida 3 5" xfId="942" xr:uid="{00000000-0005-0000-0000-000000040000}"/>
    <cellStyle name="Salida 4" xfId="943" xr:uid="{00000000-0005-0000-0000-000001040000}"/>
    <cellStyle name="Salida 4 2" xfId="944" xr:uid="{00000000-0005-0000-0000-000002040000}"/>
    <cellStyle name="Salida 4 3" xfId="945" xr:uid="{00000000-0005-0000-0000-000003040000}"/>
    <cellStyle name="Salida 4 4" xfId="946" xr:uid="{00000000-0005-0000-0000-000004040000}"/>
    <cellStyle name="Salida 4 5" xfId="947" xr:uid="{00000000-0005-0000-0000-000005040000}"/>
    <cellStyle name="Salida 5" xfId="948" xr:uid="{00000000-0005-0000-0000-000006040000}"/>
    <cellStyle name="Salida 5 2" xfId="949" xr:uid="{00000000-0005-0000-0000-000007040000}"/>
    <cellStyle name="Salida 5 3" xfId="950" xr:uid="{00000000-0005-0000-0000-000008040000}"/>
    <cellStyle name="Salida 5 4" xfId="951" xr:uid="{00000000-0005-0000-0000-000009040000}"/>
    <cellStyle name="Salida 5 5" xfId="952" xr:uid="{00000000-0005-0000-0000-00000A040000}"/>
    <cellStyle name="Salida 6" xfId="953" xr:uid="{00000000-0005-0000-0000-00000B040000}"/>
    <cellStyle name="Salida 6 2" xfId="954" xr:uid="{00000000-0005-0000-0000-00000C040000}"/>
    <cellStyle name="Salida 7" xfId="955" xr:uid="{00000000-0005-0000-0000-00000D040000}"/>
    <cellStyle name="Salida 8" xfId="956" xr:uid="{00000000-0005-0000-0000-00000E040000}"/>
    <cellStyle name="Salida 9" xfId="957" xr:uid="{00000000-0005-0000-0000-00000F040000}"/>
    <cellStyle name="SAPBEXaggData" xfId="958" xr:uid="{00000000-0005-0000-0000-000010040000}"/>
    <cellStyle name="SAPBEXaggData 10" xfId="959" xr:uid="{00000000-0005-0000-0000-000011040000}"/>
    <cellStyle name="SAPBEXaggData 11" xfId="960" xr:uid="{00000000-0005-0000-0000-000012040000}"/>
    <cellStyle name="SAPBEXaggData 2" xfId="961" xr:uid="{00000000-0005-0000-0000-000013040000}"/>
    <cellStyle name="SAPBEXaggData 2 2" xfId="962" xr:uid="{00000000-0005-0000-0000-000014040000}"/>
    <cellStyle name="SAPBEXaggData 2 2 2" xfId="963" xr:uid="{00000000-0005-0000-0000-000015040000}"/>
    <cellStyle name="SAPBEXaggData 3" xfId="964" xr:uid="{00000000-0005-0000-0000-000016040000}"/>
    <cellStyle name="SAPBEXaggData 4" xfId="965" xr:uid="{00000000-0005-0000-0000-000017040000}"/>
    <cellStyle name="SAPBEXaggData 5" xfId="966" xr:uid="{00000000-0005-0000-0000-000018040000}"/>
    <cellStyle name="SAPBEXaggData 6" xfId="967" xr:uid="{00000000-0005-0000-0000-000019040000}"/>
    <cellStyle name="SAPBEXaggData 7" xfId="968" xr:uid="{00000000-0005-0000-0000-00001A040000}"/>
    <cellStyle name="SAPBEXaggData 8" xfId="969" xr:uid="{00000000-0005-0000-0000-00001B040000}"/>
    <cellStyle name="SAPBEXaggData 9" xfId="970" xr:uid="{00000000-0005-0000-0000-00001C040000}"/>
    <cellStyle name="SAPBEXaggData_gxaccion, 68" xfId="971" xr:uid="{00000000-0005-0000-0000-00001D040000}"/>
    <cellStyle name="SAPBEXaggDataEmph" xfId="972" xr:uid="{00000000-0005-0000-0000-00001E040000}"/>
    <cellStyle name="SAPBEXaggDataEmph 10" xfId="973" xr:uid="{00000000-0005-0000-0000-00001F040000}"/>
    <cellStyle name="SAPBEXaggDataEmph 11" xfId="974" xr:uid="{00000000-0005-0000-0000-000020040000}"/>
    <cellStyle name="SAPBEXaggDataEmph 2" xfId="975" xr:uid="{00000000-0005-0000-0000-000021040000}"/>
    <cellStyle name="SAPBEXaggDataEmph 2 2" xfId="976" xr:uid="{00000000-0005-0000-0000-000022040000}"/>
    <cellStyle name="SAPBEXaggDataEmph 2 2 2" xfId="977" xr:uid="{00000000-0005-0000-0000-000023040000}"/>
    <cellStyle name="SAPBEXaggDataEmph 3" xfId="978" xr:uid="{00000000-0005-0000-0000-000024040000}"/>
    <cellStyle name="SAPBEXaggDataEmph 4" xfId="979" xr:uid="{00000000-0005-0000-0000-000025040000}"/>
    <cellStyle name="SAPBEXaggDataEmph 5" xfId="980" xr:uid="{00000000-0005-0000-0000-000026040000}"/>
    <cellStyle name="SAPBEXaggDataEmph 6" xfId="981" xr:uid="{00000000-0005-0000-0000-000027040000}"/>
    <cellStyle name="SAPBEXaggDataEmph 7" xfId="982" xr:uid="{00000000-0005-0000-0000-000028040000}"/>
    <cellStyle name="SAPBEXaggDataEmph 8" xfId="983" xr:uid="{00000000-0005-0000-0000-000029040000}"/>
    <cellStyle name="SAPBEXaggDataEmph 9" xfId="984" xr:uid="{00000000-0005-0000-0000-00002A040000}"/>
    <cellStyle name="SAPBEXaggDataEmph_valor justo.junio2010" xfId="985" xr:uid="{00000000-0005-0000-0000-00002B040000}"/>
    <cellStyle name="SAPBEXaggItem" xfId="986" xr:uid="{00000000-0005-0000-0000-00002C040000}"/>
    <cellStyle name="SAPBEXaggItem 10" xfId="987" xr:uid="{00000000-0005-0000-0000-00002D040000}"/>
    <cellStyle name="SAPBEXaggItem 11" xfId="988" xr:uid="{00000000-0005-0000-0000-00002E040000}"/>
    <cellStyle name="SAPBEXaggItem 2" xfId="989" xr:uid="{00000000-0005-0000-0000-00002F040000}"/>
    <cellStyle name="SAPBEXaggItem 2 2" xfId="990" xr:uid="{00000000-0005-0000-0000-000030040000}"/>
    <cellStyle name="SAPBEXaggItem 2 2 2" xfId="991" xr:uid="{00000000-0005-0000-0000-000031040000}"/>
    <cellStyle name="SAPBEXaggItem 3" xfId="992" xr:uid="{00000000-0005-0000-0000-000032040000}"/>
    <cellStyle name="SAPBEXaggItem 4" xfId="993" xr:uid="{00000000-0005-0000-0000-000033040000}"/>
    <cellStyle name="SAPBEXaggItem 5" xfId="994" xr:uid="{00000000-0005-0000-0000-000034040000}"/>
    <cellStyle name="SAPBEXaggItem 6" xfId="995" xr:uid="{00000000-0005-0000-0000-000035040000}"/>
    <cellStyle name="SAPBEXaggItem 7" xfId="996" xr:uid="{00000000-0005-0000-0000-000036040000}"/>
    <cellStyle name="SAPBEXaggItem 8" xfId="997" xr:uid="{00000000-0005-0000-0000-000037040000}"/>
    <cellStyle name="SAPBEXaggItem 9" xfId="998" xr:uid="{00000000-0005-0000-0000-000038040000}"/>
    <cellStyle name="SAPBEXaggItem_gxaccion, 68" xfId="999" xr:uid="{00000000-0005-0000-0000-000039040000}"/>
    <cellStyle name="SAPBEXaggItemX" xfId="1000" xr:uid="{00000000-0005-0000-0000-00003A040000}"/>
    <cellStyle name="SAPBEXaggItemX 10" xfId="1001" xr:uid="{00000000-0005-0000-0000-00003B040000}"/>
    <cellStyle name="SAPBEXaggItemX 11" xfId="1002" xr:uid="{00000000-0005-0000-0000-00003C040000}"/>
    <cellStyle name="SAPBEXaggItemX 2" xfId="1003" xr:uid="{00000000-0005-0000-0000-00003D040000}"/>
    <cellStyle name="SAPBEXaggItemX 2 2" xfId="1004" xr:uid="{00000000-0005-0000-0000-00003E040000}"/>
    <cellStyle name="SAPBEXaggItemX 2 2 2" xfId="1005" xr:uid="{00000000-0005-0000-0000-00003F040000}"/>
    <cellStyle name="SAPBEXaggItemX 3" xfId="1006" xr:uid="{00000000-0005-0000-0000-000040040000}"/>
    <cellStyle name="SAPBEXaggItemX 4" xfId="1007" xr:uid="{00000000-0005-0000-0000-000041040000}"/>
    <cellStyle name="SAPBEXaggItemX 5" xfId="1008" xr:uid="{00000000-0005-0000-0000-000042040000}"/>
    <cellStyle name="SAPBEXaggItemX 6" xfId="1009" xr:uid="{00000000-0005-0000-0000-000043040000}"/>
    <cellStyle name="SAPBEXaggItemX 7" xfId="1010" xr:uid="{00000000-0005-0000-0000-000044040000}"/>
    <cellStyle name="SAPBEXaggItemX 8" xfId="1011" xr:uid="{00000000-0005-0000-0000-000045040000}"/>
    <cellStyle name="SAPBEXaggItemX 9" xfId="1012" xr:uid="{00000000-0005-0000-0000-000046040000}"/>
    <cellStyle name="SAPBEXaggItemX_valor justo.junio2010" xfId="1013" xr:uid="{00000000-0005-0000-0000-000047040000}"/>
    <cellStyle name="SAPBEXchaText" xfId="1014" xr:uid="{00000000-0005-0000-0000-000048040000}"/>
    <cellStyle name="SAPBEXchaText 10" xfId="1015" xr:uid="{00000000-0005-0000-0000-000049040000}"/>
    <cellStyle name="SAPBEXchaText 11" xfId="1016" xr:uid="{00000000-0005-0000-0000-00004A040000}"/>
    <cellStyle name="SAPBEXchaText 2" xfId="1017" xr:uid="{00000000-0005-0000-0000-00004B040000}"/>
    <cellStyle name="SAPBEXchaText 2 2" xfId="1018" xr:uid="{00000000-0005-0000-0000-00004C040000}"/>
    <cellStyle name="SAPBEXchaText 2 2 2" xfId="1019" xr:uid="{00000000-0005-0000-0000-00004D040000}"/>
    <cellStyle name="SAPBEXchaText 3" xfId="1020" xr:uid="{00000000-0005-0000-0000-00004E040000}"/>
    <cellStyle name="SAPBEXchaText 4" xfId="1021" xr:uid="{00000000-0005-0000-0000-00004F040000}"/>
    <cellStyle name="SAPBEXchaText 5" xfId="1022" xr:uid="{00000000-0005-0000-0000-000050040000}"/>
    <cellStyle name="SAPBEXchaText 6" xfId="1023" xr:uid="{00000000-0005-0000-0000-000051040000}"/>
    <cellStyle name="SAPBEXchaText 7" xfId="1024" xr:uid="{00000000-0005-0000-0000-000052040000}"/>
    <cellStyle name="SAPBEXchaText 8" xfId="1025" xr:uid="{00000000-0005-0000-0000-000053040000}"/>
    <cellStyle name="SAPBEXchaText 9" xfId="1026" xr:uid="{00000000-0005-0000-0000-000054040000}"/>
    <cellStyle name="SAPBEXchaText_gxaccion, 68" xfId="1027" xr:uid="{00000000-0005-0000-0000-000055040000}"/>
    <cellStyle name="SAPBEXexcBad7" xfId="1028" xr:uid="{00000000-0005-0000-0000-000056040000}"/>
    <cellStyle name="SAPBEXexcBad7 10" xfId="1029" xr:uid="{00000000-0005-0000-0000-000057040000}"/>
    <cellStyle name="SAPBEXexcBad7 11" xfId="1030" xr:uid="{00000000-0005-0000-0000-000058040000}"/>
    <cellStyle name="SAPBEXexcBad7 2" xfId="1031" xr:uid="{00000000-0005-0000-0000-000059040000}"/>
    <cellStyle name="SAPBEXexcBad7 2 2" xfId="1032" xr:uid="{00000000-0005-0000-0000-00005A040000}"/>
    <cellStyle name="SAPBEXexcBad7 2 2 2" xfId="1033" xr:uid="{00000000-0005-0000-0000-00005B040000}"/>
    <cellStyle name="SAPBEXexcBad7 3" xfId="1034" xr:uid="{00000000-0005-0000-0000-00005C040000}"/>
    <cellStyle name="SAPBEXexcBad7 4" xfId="1035" xr:uid="{00000000-0005-0000-0000-00005D040000}"/>
    <cellStyle name="SAPBEXexcBad7 5" xfId="1036" xr:uid="{00000000-0005-0000-0000-00005E040000}"/>
    <cellStyle name="SAPBEXexcBad7 6" xfId="1037" xr:uid="{00000000-0005-0000-0000-00005F040000}"/>
    <cellStyle name="SAPBEXexcBad7 7" xfId="1038" xr:uid="{00000000-0005-0000-0000-000060040000}"/>
    <cellStyle name="SAPBEXexcBad7 8" xfId="1039" xr:uid="{00000000-0005-0000-0000-000061040000}"/>
    <cellStyle name="SAPBEXexcBad7 9" xfId="1040" xr:uid="{00000000-0005-0000-0000-000062040000}"/>
    <cellStyle name="SAPBEXexcBad7_gxaccion, 68" xfId="1041" xr:uid="{00000000-0005-0000-0000-000063040000}"/>
    <cellStyle name="SAPBEXexcBad8" xfId="1042" xr:uid="{00000000-0005-0000-0000-000064040000}"/>
    <cellStyle name="SAPBEXexcBad8 10" xfId="1043" xr:uid="{00000000-0005-0000-0000-000065040000}"/>
    <cellStyle name="SAPBEXexcBad8 11" xfId="1044" xr:uid="{00000000-0005-0000-0000-000066040000}"/>
    <cellStyle name="SAPBEXexcBad8 2" xfId="1045" xr:uid="{00000000-0005-0000-0000-000067040000}"/>
    <cellStyle name="SAPBEXexcBad8 2 2" xfId="1046" xr:uid="{00000000-0005-0000-0000-000068040000}"/>
    <cellStyle name="SAPBEXexcBad8 2 2 2" xfId="1047" xr:uid="{00000000-0005-0000-0000-000069040000}"/>
    <cellStyle name="SAPBEXexcBad8 3" xfId="1048" xr:uid="{00000000-0005-0000-0000-00006A040000}"/>
    <cellStyle name="SAPBEXexcBad8 4" xfId="1049" xr:uid="{00000000-0005-0000-0000-00006B040000}"/>
    <cellStyle name="SAPBEXexcBad8 5" xfId="1050" xr:uid="{00000000-0005-0000-0000-00006C040000}"/>
    <cellStyle name="SAPBEXexcBad8 6" xfId="1051" xr:uid="{00000000-0005-0000-0000-00006D040000}"/>
    <cellStyle name="SAPBEXexcBad8 7" xfId="1052" xr:uid="{00000000-0005-0000-0000-00006E040000}"/>
    <cellStyle name="SAPBEXexcBad8 8" xfId="1053" xr:uid="{00000000-0005-0000-0000-00006F040000}"/>
    <cellStyle name="SAPBEXexcBad8 9" xfId="1054" xr:uid="{00000000-0005-0000-0000-000070040000}"/>
    <cellStyle name="SAPBEXexcBad8_gxaccion, 68" xfId="1055" xr:uid="{00000000-0005-0000-0000-000071040000}"/>
    <cellStyle name="SAPBEXexcBad9" xfId="1056" xr:uid="{00000000-0005-0000-0000-000072040000}"/>
    <cellStyle name="SAPBEXexcBad9 10" xfId="1057" xr:uid="{00000000-0005-0000-0000-000073040000}"/>
    <cellStyle name="SAPBEXexcBad9 11" xfId="1058" xr:uid="{00000000-0005-0000-0000-000074040000}"/>
    <cellStyle name="SAPBEXexcBad9 2" xfId="1059" xr:uid="{00000000-0005-0000-0000-000075040000}"/>
    <cellStyle name="SAPBEXexcBad9 2 2" xfId="1060" xr:uid="{00000000-0005-0000-0000-000076040000}"/>
    <cellStyle name="SAPBEXexcBad9 2 2 2" xfId="1061" xr:uid="{00000000-0005-0000-0000-000077040000}"/>
    <cellStyle name="SAPBEXexcBad9 3" xfId="1062" xr:uid="{00000000-0005-0000-0000-000078040000}"/>
    <cellStyle name="SAPBEXexcBad9 4" xfId="1063" xr:uid="{00000000-0005-0000-0000-000079040000}"/>
    <cellStyle name="SAPBEXexcBad9 5" xfId="1064" xr:uid="{00000000-0005-0000-0000-00007A040000}"/>
    <cellStyle name="SAPBEXexcBad9 6" xfId="1065" xr:uid="{00000000-0005-0000-0000-00007B040000}"/>
    <cellStyle name="SAPBEXexcBad9 7" xfId="1066" xr:uid="{00000000-0005-0000-0000-00007C040000}"/>
    <cellStyle name="SAPBEXexcBad9 8" xfId="1067" xr:uid="{00000000-0005-0000-0000-00007D040000}"/>
    <cellStyle name="SAPBEXexcBad9 9" xfId="1068" xr:uid="{00000000-0005-0000-0000-00007E040000}"/>
    <cellStyle name="SAPBEXexcBad9_gxaccion, 68" xfId="1069" xr:uid="{00000000-0005-0000-0000-00007F040000}"/>
    <cellStyle name="SAPBEXexcCritical4" xfId="1070" xr:uid="{00000000-0005-0000-0000-000080040000}"/>
    <cellStyle name="SAPBEXexcCritical4 10" xfId="1071" xr:uid="{00000000-0005-0000-0000-000081040000}"/>
    <cellStyle name="SAPBEXexcCritical4 11" xfId="1072" xr:uid="{00000000-0005-0000-0000-000082040000}"/>
    <cellStyle name="SAPBEXexcCritical4 2" xfId="1073" xr:uid="{00000000-0005-0000-0000-000083040000}"/>
    <cellStyle name="SAPBEXexcCritical4 2 2" xfId="1074" xr:uid="{00000000-0005-0000-0000-000084040000}"/>
    <cellStyle name="SAPBEXexcCritical4 2 2 2" xfId="1075" xr:uid="{00000000-0005-0000-0000-000085040000}"/>
    <cellStyle name="SAPBEXexcCritical4 3" xfId="1076" xr:uid="{00000000-0005-0000-0000-000086040000}"/>
    <cellStyle name="SAPBEXexcCritical4 4" xfId="1077" xr:uid="{00000000-0005-0000-0000-000087040000}"/>
    <cellStyle name="SAPBEXexcCritical4 5" xfId="1078" xr:uid="{00000000-0005-0000-0000-000088040000}"/>
    <cellStyle name="SAPBEXexcCritical4 6" xfId="1079" xr:uid="{00000000-0005-0000-0000-000089040000}"/>
    <cellStyle name="SAPBEXexcCritical4 7" xfId="1080" xr:uid="{00000000-0005-0000-0000-00008A040000}"/>
    <cellStyle name="SAPBEXexcCritical4 8" xfId="1081" xr:uid="{00000000-0005-0000-0000-00008B040000}"/>
    <cellStyle name="SAPBEXexcCritical4 9" xfId="1082" xr:uid="{00000000-0005-0000-0000-00008C040000}"/>
    <cellStyle name="SAPBEXexcCritical4_gxaccion, 68" xfId="1083" xr:uid="{00000000-0005-0000-0000-00008D040000}"/>
    <cellStyle name="SAPBEXexcCritical5" xfId="1084" xr:uid="{00000000-0005-0000-0000-00008E040000}"/>
    <cellStyle name="SAPBEXexcCritical5 10" xfId="1085" xr:uid="{00000000-0005-0000-0000-00008F040000}"/>
    <cellStyle name="SAPBEXexcCritical5 11" xfId="1086" xr:uid="{00000000-0005-0000-0000-000090040000}"/>
    <cellStyle name="SAPBEXexcCritical5 2" xfId="1087" xr:uid="{00000000-0005-0000-0000-000091040000}"/>
    <cellStyle name="SAPBEXexcCritical5 2 2" xfId="1088" xr:uid="{00000000-0005-0000-0000-000092040000}"/>
    <cellStyle name="SAPBEXexcCritical5 2 2 2" xfId="1089" xr:uid="{00000000-0005-0000-0000-000093040000}"/>
    <cellStyle name="SAPBEXexcCritical5 3" xfId="1090" xr:uid="{00000000-0005-0000-0000-000094040000}"/>
    <cellStyle name="SAPBEXexcCritical5 4" xfId="1091" xr:uid="{00000000-0005-0000-0000-000095040000}"/>
    <cellStyle name="SAPBEXexcCritical5 5" xfId="1092" xr:uid="{00000000-0005-0000-0000-000096040000}"/>
    <cellStyle name="SAPBEXexcCritical5 6" xfId="1093" xr:uid="{00000000-0005-0000-0000-000097040000}"/>
    <cellStyle name="SAPBEXexcCritical5 7" xfId="1094" xr:uid="{00000000-0005-0000-0000-000098040000}"/>
    <cellStyle name="SAPBEXexcCritical5 8" xfId="1095" xr:uid="{00000000-0005-0000-0000-000099040000}"/>
    <cellStyle name="SAPBEXexcCritical5 9" xfId="1096" xr:uid="{00000000-0005-0000-0000-00009A040000}"/>
    <cellStyle name="SAPBEXexcCritical5_gxaccion, 68" xfId="1097" xr:uid="{00000000-0005-0000-0000-00009B040000}"/>
    <cellStyle name="SAPBEXexcCritical6" xfId="1098" xr:uid="{00000000-0005-0000-0000-00009C040000}"/>
    <cellStyle name="SAPBEXexcCritical6 10" xfId="1099" xr:uid="{00000000-0005-0000-0000-00009D040000}"/>
    <cellStyle name="SAPBEXexcCritical6 11" xfId="1100" xr:uid="{00000000-0005-0000-0000-00009E040000}"/>
    <cellStyle name="SAPBEXexcCritical6 2" xfId="1101" xr:uid="{00000000-0005-0000-0000-00009F040000}"/>
    <cellStyle name="SAPBEXexcCritical6 2 2" xfId="1102" xr:uid="{00000000-0005-0000-0000-0000A0040000}"/>
    <cellStyle name="SAPBEXexcCritical6 2 2 2" xfId="1103" xr:uid="{00000000-0005-0000-0000-0000A1040000}"/>
    <cellStyle name="SAPBEXexcCritical6 3" xfId="1104" xr:uid="{00000000-0005-0000-0000-0000A2040000}"/>
    <cellStyle name="SAPBEXexcCritical6 4" xfId="1105" xr:uid="{00000000-0005-0000-0000-0000A3040000}"/>
    <cellStyle name="SAPBEXexcCritical6 5" xfId="1106" xr:uid="{00000000-0005-0000-0000-0000A4040000}"/>
    <cellStyle name="SAPBEXexcCritical6 6" xfId="1107" xr:uid="{00000000-0005-0000-0000-0000A5040000}"/>
    <cellStyle name="SAPBEXexcCritical6 7" xfId="1108" xr:uid="{00000000-0005-0000-0000-0000A6040000}"/>
    <cellStyle name="SAPBEXexcCritical6 8" xfId="1109" xr:uid="{00000000-0005-0000-0000-0000A7040000}"/>
    <cellStyle name="SAPBEXexcCritical6 9" xfId="1110" xr:uid="{00000000-0005-0000-0000-0000A8040000}"/>
    <cellStyle name="SAPBEXexcCritical6_gxaccion, 68" xfId="1111" xr:uid="{00000000-0005-0000-0000-0000A9040000}"/>
    <cellStyle name="SAPBEXexcGood1" xfId="1112" xr:uid="{00000000-0005-0000-0000-0000AA040000}"/>
    <cellStyle name="SAPBEXexcGood1 10" xfId="1113" xr:uid="{00000000-0005-0000-0000-0000AB040000}"/>
    <cellStyle name="SAPBEXexcGood1 11" xfId="1114" xr:uid="{00000000-0005-0000-0000-0000AC040000}"/>
    <cellStyle name="SAPBEXexcGood1 2" xfId="1115" xr:uid="{00000000-0005-0000-0000-0000AD040000}"/>
    <cellStyle name="SAPBEXexcGood1 2 2" xfId="1116" xr:uid="{00000000-0005-0000-0000-0000AE040000}"/>
    <cellStyle name="SAPBEXexcGood1 2 2 2" xfId="1117" xr:uid="{00000000-0005-0000-0000-0000AF040000}"/>
    <cellStyle name="SAPBEXexcGood1 3" xfId="1118" xr:uid="{00000000-0005-0000-0000-0000B0040000}"/>
    <cellStyle name="SAPBEXexcGood1 4" xfId="1119" xr:uid="{00000000-0005-0000-0000-0000B1040000}"/>
    <cellStyle name="SAPBEXexcGood1 5" xfId="1120" xr:uid="{00000000-0005-0000-0000-0000B2040000}"/>
    <cellStyle name="SAPBEXexcGood1 6" xfId="1121" xr:uid="{00000000-0005-0000-0000-0000B3040000}"/>
    <cellStyle name="SAPBEXexcGood1 7" xfId="1122" xr:uid="{00000000-0005-0000-0000-0000B4040000}"/>
    <cellStyle name="SAPBEXexcGood1 8" xfId="1123" xr:uid="{00000000-0005-0000-0000-0000B5040000}"/>
    <cellStyle name="SAPBEXexcGood1 9" xfId="1124" xr:uid="{00000000-0005-0000-0000-0000B6040000}"/>
    <cellStyle name="SAPBEXexcGood1_gxaccion, 68" xfId="1125" xr:uid="{00000000-0005-0000-0000-0000B7040000}"/>
    <cellStyle name="SAPBEXexcGood2" xfId="1126" xr:uid="{00000000-0005-0000-0000-0000B8040000}"/>
    <cellStyle name="SAPBEXexcGood2 10" xfId="1127" xr:uid="{00000000-0005-0000-0000-0000B9040000}"/>
    <cellStyle name="SAPBEXexcGood2 11" xfId="1128" xr:uid="{00000000-0005-0000-0000-0000BA040000}"/>
    <cellStyle name="SAPBEXexcGood2 2" xfId="1129" xr:uid="{00000000-0005-0000-0000-0000BB040000}"/>
    <cellStyle name="SAPBEXexcGood2 2 2" xfId="1130" xr:uid="{00000000-0005-0000-0000-0000BC040000}"/>
    <cellStyle name="SAPBEXexcGood2 2 2 2" xfId="1131" xr:uid="{00000000-0005-0000-0000-0000BD040000}"/>
    <cellStyle name="SAPBEXexcGood2 3" xfId="1132" xr:uid="{00000000-0005-0000-0000-0000BE040000}"/>
    <cellStyle name="SAPBEXexcGood2 4" xfId="1133" xr:uid="{00000000-0005-0000-0000-0000BF040000}"/>
    <cellStyle name="SAPBEXexcGood2 5" xfId="1134" xr:uid="{00000000-0005-0000-0000-0000C0040000}"/>
    <cellStyle name="SAPBEXexcGood2 6" xfId="1135" xr:uid="{00000000-0005-0000-0000-0000C1040000}"/>
    <cellStyle name="SAPBEXexcGood2 7" xfId="1136" xr:uid="{00000000-0005-0000-0000-0000C2040000}"/>
    <cellStyle name="SAPBEXexcGood2 8" xfId="1137" xr:uid="{00000000-0005-0000-0000-0000C3040000}"/>
    <cellStyle name="SAPBEXexcGood2 9" xfId="1138" xr:uid="{00000000-0005-0000-0000-0000C4040000}"/>
    <cellStyle name="SAPBEXexcGood2_gxaccion, 68" xfId="1139" xr:uid="{00000000-0005-0000-0000-0000C5040000}"/>
    <cellStyle name="SAPBEXexcGood3" xfId="1140" xr:uid="{00000000-0005-0000-0000-0000C6040000}"/>
    <cellStyle name="SAPBEXexcGood3 10" xfId="1141" xr:uid="{00000000-0005-0000-0000-0000C7040000}"/>
    <cellStyle name="SAPBEXexcGood3 11" xfId="1142" xr:uid="{00000000-0005-0000-0000-0000C8040000}"/>
    <cellStyle name="SAPBEXexcGood3 2" xfId="1143" xr:uid="{00000000-0005-0000-0000-0000C9040000}"/>
    <cellStyle name="SAPBEXexcGood3 2 2" xfId="1144" xr:uid="{00000000-0005-0000-0000-0000CA040000}"/>
    <cellStyle name="SAPBEXexcGood3 2 2 2" xfId="1145" xr:uid="{00000000-0005-0000-0000-0000CB040000}"/>
    <cellStyle name="SAPBEXexcGood3 3" xfId="1146" xr:uid="{00000000-0005-0000-0000-0000CC040000}"/>
    <cellStyle name="SAPBEXexcGood3 4" xfId="1147" xr:uid="{00000000-0005-0000-0000-0000CD040000}"/>
    <cellStyle name="SAPBEXexcGood3 5" xfId="1148" xr:uid="{00000000-0005-0000-0000-0000CE040000}"/>
    <cellStyle name="SAPBEXexcGood3 6" xfId="1149" xr:uid="{00000000-0005-0000-0000-0000CF040000}"/>
    <cellStyle name="SAPBEXexcGood3 7" xfId="1150" xr:uid="{00000000-0005-0000-0000-0000D0040000}"/>
    <cellStyle name="SAPBEXexcGood3 8" xfId="1151" xr:uid="{00000000-0005-0000-0000-0000D1040000}"/>
    <cellStyle name="SAPBEXexcGood3 9" xfId="1152" xr:uid="{00000000-0005-0000-0000-0000D2040000}"/>
    <cellStyle name="SAPBEXexcGood3_gxaccion, 68" xfId="1153" xr:uid="{00000000-0005-0000-0000-0000D3040000}"/>
    <cellStyle name="SAPBEXfilterDrill" xfId="1154" xr:uid="{00000000-0005-0000-0000-0000D4040000}"/>
    <cellStyle name="SAPBEXfilterDrill 10" xfId="1155" xr:uid="{00000000-0005-0000-0000-0000D5040000}"/>
    <cellStyle name="SAPBEXfilterDrill 11" xfId="1156" xr:uid="{00000000-0005-0000-0000-0000D6040000}"/>
    <cellStyle name="SAPBEXfilterDrill 2" xfId="1157" xr:uid="{00000000-0005-0000-0000-0000D7040000}"/>
    <cellStyle name="SAPBEXfilterDrill 2 2" xfId="1158" xr:uid="{00000000-0005-0000-0000-0000D8040000}"/>
    <cellStyle name="SAPBEXfilterDrill 2 2 2" xfId="1159" xr:uid="{00000000-0005-0000-0000-0000D9040000}"/>
    <cellStyle name="SAPBEXfilterDrill 3" xfId="1160" xr:uid="{00000000-0005-0000-0000-0000DA040000}"/>
    <cellStyle name="SAPBEXfilterDrill 4" xfId="1161" xr:uid="{00000000-0005-0000-0000-0000DB040000}"/>
    <cellStyle name="SAPBEXfilterDrill 5" xfId="1162" xr:uid="{00000000-0005-0000-0000-0000DC040000}"/>
    <cellStyle name="SAPBEXfilterDrill 6" xfId="1163" xr:uid="{00000000-0005-0000-0000-0000DD040000}"/>
    <cellStyle name="SAPBEXfilterDrill 7" xfId="1164" xr:uid="{00000000-0005-0000-0000-0000DE040000}"/>
    <cellStyle name="SAPBEXfilterDrill 8" xfId="1165" xr:uid="{00000000-0005-0000-0000-0000DF040000}"/>
    <cellStyle name="SAPBEXfilterDrill 9" xfId="1166" xr:uid="{00000000-0005-0000-0000-0000E0040000}"/>
    <cellStyle name="SAPBEXfilterDrill_gxaccion, 68" xfId="1167" xr:uid="{00000000-0005-0000-0000-0000E1040000}"/>
    <cellStyle name="SAPBEXfilterItem" xfId="1168" xr:uid="{00000000-0005-0000-0000-0000E2040000}"/>
    <cellStyle name="SAPBEXfilterItem 10" xfId="1169" xr:uid="{00000000-0005-0000-0000-0000E3040000}"/>
    <cellStyle name="SAPBEXfilterItem 10 2" xfId="1730" xr:uid="{00000000-0005-0000-0000-0000E4040000}"/>
    <cellStyle name="SAPBEXfilterItem 11" xfId="1170" xr:uid="{00000000-0005-0000-0000-0000E5040000}"/>
    <cellStyle name="SAPBEXfilterItem 11 2" xfId="1731" xr:uid="{00000000-0005-0000-0000-0000E6040000}"/>
    <cellStyle name="SAPBEXfilterItem 2" xfId="1171" xr:uid="{00000000-0005-0000-0000-0000E7040000}"/>
    <cellStyle name="SAPBEXfilterItem 2 2" xfId="1172" xr:uid="{00000000-0005-0000-0000-0000E8040000}"/>
    <cellStyle name="SAPBEXfilterItem 2 2 2" xfId="1173" xr:uid="{00000000-0005-0000-0000-0000E9040000}"/>
    <cellStyle name="SAPBEXfilterItem 2 2 2 2" xfId="1733" xr:uid="{00000000-0005-0000-0000-0000EA040000}"/>
    <cellStyle name="SAPBEXfilterItem 2 3" xfId="1732" xr:uid="{00000000-0005-0000-0000-0000EB040000}"/>
    <cellStyle name="SAPBEXfilterItem 3" xfId="1174" xr:uid="{00000000-0005-0000-0000-0000EC040000}"/>
    <cellStyle name="SAPBEXfilterItem 3 2" xfId="1734" xr:uid="{00000000-0005-0000-0000-0000ED040000}"/>
    <cellStyle name="SAPBEXfilterItem 4" xfId="1175" xr:uid="{00000000-0005-0000-0000-0000EE040000}"/>
    <cellStyle name="SAPBEXfilterItem 4 2" xfId="1735" xr:uid="{00000000-0005-0000-0000-0000EF040000}"/>
    <cellStyle name="SAPBEXfilterItem 5" xfId="1176" xr:uid="{00000000-0005-0000-0000-0000F0040000}"/>
    <cellStyle name="SAPBEXfilterItem 5 2" xfId="1736" xr:uid="{00000000-0005-0000-0000-0000F1040000}"/>
    <cellStyle name="SAPBEXfilterItem 6" xfId="1177" xr:uid="{00000000-0005-0000-0000-0000F2040000}"/>
    <cellStyle name="SAPBEXfilterItem 6 2" xfId="1737" xr:uid="{00000000-0005-0000-0000-0000F3040000}"/>
    <cellStyle name="SAPBEXfilterItem 7" xfId="1178" xr:uid="{00000000-0005-0000-0000-0000F4040000}"/>
    <cellStyle name="SAPBEXfilterItem 7 2" xfId="1738" xr:uid="{00000000-0005-0000-0000-0000F5040000}"/>
    <cellStyle name="SAPBEXfilterItem 8" xfId="1179" xr:uid="{00000000-0005-0000-0000-0000F6040000}"/>
    <cellStyle name="SAPBEXfilterItem 8 2" xfId="1739" xr:uid="{00000000-0005-0000-0000-0000F7040000}"/>
    <cellStyle name="SAPBEXfilterItem 9" xfId="1180" xr:uid="{00000000-0005-0000-0000-0000F8040000}"/>
    <cellStyle name="SAPBEXfilterItem 9 2" xfId="1740" xr:uid="{00000000-0005-0000-0000-0000F9040000}"/>
    <cellStyle name="SAPBEXfilterText" xfId="1181" xr:uid="{00000000-0005-0000-0000-0000FA040000}"/>
    <cellStyle name="SAPBEXfilterText 10" xfId="1182" xr:uid="{00000000-0005-0000-0000-0000FB040000}"/>
    <cellStyle name="SAPBEXfilterText 10 2" xfId="1741" xr:uid="{00000000-0005-0000-0000-0000FC040000}"/>
    <cellStyle name="SAPBEXfilterText 11" xfId="1183" xr:uid="{00000000-0005-0000-0000-0000FD040000}"/>
    <cellStyle name="SAPBEXfilterText 11 2" xfId="1742" xr:uid="{00000000-0005-0000-0000-0000FE040000}"/>
    <cellStyle name="SAPBEXfilterText 2" xfId="1184" xr:uid="{00000000-0005-0000-0000-0000FF040000}"/>
    <cellStyle name="SAPBEXfilterText 2 2" xfId="1185" xr:uid="{00000000-0005-0000-0000-000000050000}"/>
    <cellStyle name="SAPBEXfilterText 2 2 2" xfId="1186" xr:uid="{00000000-0005-0000-0000-000001050000}"/>
    <cellStyle name="SAPBEXfilterText 2 2 2 2" xfId="1744" xr:uid="{00000000-0005-0000-0000-000002050000}"/>
    <cellStyle name="SAPBEXfilterText 2 3" xfId="1743" xr:uid="{00000000-0005-0000-0000-000003050000}"/>
    <cellStyle name="SAPBEXfilterText 3" xfId="1187" xr:uid="{00000000-0005-0000-0000-000004050000}"/>
    <cellStyle name="SAPBEXfilterText 3 2" xfId="1745" xr:uid="{00000000-0005-0000-0000-000005050000}"/>
    <cellStyle name="SAPBEXfilterText 4" xfId="1188" xr:uid="{00000000-0005-0000-0000-000006050000}"/>
    <cellStyle name="SAPBEXfilterText 4 2" xfId="1746" xr:uid="{00000000-0005-0000-0000-000007050000}"/>
    <cellStyle name="SAPBEXfilterText 5" xfId="1189" xr:uid="{00000000-0005-0000-0000-000008050000}"/>
    <cellStyle name="SAPBEXfilterText 5 2" xfId="1747" xr:uid="{00000000-0005-0000-0000-000009050000}"/>
    <cellStyle name="SAPBEXfilterText 6" xfId="1190" xr:uid="{00000000-0005-0000-0000-00000A050000}"/>
    <cellStyle name="SAPBEXfilterText 6 2" xfId="1748" xr:uid="{00000000-0005-0000-0000-00000B050000}"/>
    <cellStyle name="SAPBEXfilterText 7" xfId="1191" xr:uid="{00000000-0005-0000-0000-00000C050000}"/>
    <cellStyle name="SAPBEXfilterText 7 2" xfId="1749" xr:uid="{00000000-0005-0000-0000-00000D050000}"/>
    <cellStyle name="SAPBEXfilterText 8" xfId="1192" xr:uid="{00000000-0005-0000-0000-00000E050000}"/>
    <cellStyle name="SAPBEXfilterText 8 2" xfId="1750" xr:uid="{00000000-0005-0000-0000-00000F050000}"/>
    <cellStyle name="SAPBEXfilterText 9" xfId="1193" xr:uid="{00000000-0005-0000-0000-000010050000}"/>
    <cellStyle name="SAPBEXfilterText 9 2" xfId="1751" xr:uid="{00000000-0005-0000-0000-000011050000}"/>
    <cellStyle name="SAPBEXformats" xfId="1194" xr:uid="{00000000-0005-0000-0000-000012050000}"/>
    <cellStyle name="SAPBEXformats 10" xfId="1195" xr:uid="{00000000-0005-0000-0000-000013050000}"/>
    <cellStyle name="SAPBEXformats 11" xfId="1196" xr:uid="{00000000-0005-0000-0000-000014050000}"/>
    <cellStyle name="SAPBEXformats 2" xfId="1197" xr:uid="{00000000-0005-0000-0000-000015050000}"/>
    <cellStyle name="SAPBEXformats 2 2" xfId="1198" xr:uid="{00000000-0005-0000-0000-000016050000}"/>
    <cellStyle name="SAPBEXformats 2 2 2" xfId="1199" xr:uid="{00000000-0005-0000-0000-000017050000}"/>
    <cellStyle name="SAPBEXformats 3" xfId="1200" xr:uid="{00000000-0005-0000-0000-000018050000}"/>
    <cellStyle name="SAPBEXformats 4" xfId="1201" xr:uid="{00000000-0005-0000-0000-000019050000}"/>
    <cellStyle name="SAPBEXformats 5" xfId="1202" xr:uid="{00000000-0005-0000-0000-00001A050000}"/>
    <cellStyle name="SAPBEXformats 6" xfId="1203" xr:uid="{00000000-0005-0000-0000-00001B050000}"/>
    <cellStyle name="SAPBEXformats 7" xfId="1204" xr:uid="{00000000-0005-0000-0000-00001C050000}"/>
    <cellStyle name="SAPBEXformats 8" xfId="1205" xr:uid="{00000000-0005-0000-0000-00001D050000}"/>
    <cellStyle name="SAPBEXformats 9" xfId="1206" xr:uid="{00000000-0005-0000-0000-00001E050000}"/>
    <cellStyle name="SAPBEXformats_gxaccion, 68" xfId="1207" xr:uid="{00000000-0005-0000-0000-00001F050000}"/>
    <cellStyle name="SAPBEXheaderItem" xfId="1208" xr:uid="{00000000-0005-0000-0000-000020050000}"/>
    <cellStyle name="SAPBEXheaderItem 10" xfId="1209" xr:uid="{00000000-0005-0000-0000-000021050000}"/>
    <cellStyle name="SAPBEXheaderItem 11" xfId="1210" xr:uid="{00000000-0005-0000-0000-000022050000}"/>
    <cellStyle name="SAPBEXheaderItem 2" xfId="1211" xr:uid="{00000000-0005-0000-0000-000023050000}"/>
    <cellStyle name="SAPBEXheaderItem 2 2" xfId="1212" xr:uid="{00000000-0005-0000-0000-000024050000}"/>
    <cellStyle name="SAPBEXheaderItem 2 2 2" xfId="1213" xr:uid="{00000000-0005-0000-0000-000025050000}"/>
    <cellStyle name="SAPBEXheaderItem 3" xfId="1214" xr:uid="{00000000-0005-0000-0000-000026050000}"/>
    <cellStyle name="SAPBEXheaderItem 4" xfId="1215" xr:uid="{00000000-0005-0000-0000-000027050000}"/>
    <cellStyle name="SAPBEXheaderItem 5" xfId="1216" xr:uid="{00000000-0005-0000-0000-000028050000}"/>
    <cellStyle name="SAPBEXheaderItem 6" xfId="1217" xr:uid="{00000000-0005-0000-0000-000029050000}"/>
    <cellStyle name="SAPBEXheaderItem 7" xfId="1218" xr:uid="{00000000-0005-0000-0000-00002A050000}"/>
    <cellStyle name="SAPBEXheaderItem 8" xfId="1219" xr:uid="{00000000-0005-0000-0000-00002B050000}"/>
    <cellStyle name="SAPBEXheaderItem 9" xfId="1220" xr:uid="{00000000-0005-0000-0000-00002C050000}"/>
    <cellStyle name="SAPBEXheaderItem_gxaccion, 68" xfId="1221" xr:uid="{00000000-0005-0000-0000-00002D050000}"/>
    <cellStyle name="SAPBEXheaderText" xfId="1222" xr:uid="{00000000-0005-0000-0000-00002E050000}"/>
    <cellStyle name="SAPBEXheaderText 10" xfId="1223" xr:uid="{00000000-0005-0000-0000-00002F050000}"/>
    <cellStyle name="SAPBEXheaderText 11" xfId="1224" xr:uid="{00000000-0005-0000-0000-000030050000}"/>
    <cellStyle name="SAPBEXheaderText 2" xfId="1225" xr:uid="{00000000-0005-0000-0000-000031050000}"/>
    <cellStyle name="SAPBEXheaderText 2 2" xfId="1226" xr:uid="{00000000-0005-0000-0000-000032050000}"/>
    <cellStyle name="SAPBEXheaderText 2 2 2" xfId="1227" xr:uid="{00000000-0005-0000-0000-000033050000}"/>
    <cellStyle name="SAPBEXheaderText 3" xfId="1228" xr:uid="{00000000-0005-0000-0000-000034050000}"/>
    <cellStyle name="SAPBEXheaderText 4" xfId="1229" xr:uid="{00000000-0005-0000-0000-000035050000}"/>
    <cellStyle name="SAPBEXheaderText 5" xfId="1230" xr:uid="{00000000-0005-0000-0000-000036050000}"/>
    <cellStyle name="SAPBEXheaderText 6" xfId="1231" xr:uid="{00000000-0005-0000-0000-000037050000}"/>
    <cellStyle name="SAPBEXheaderText 7" xfId="1232" xr:uid="{00000000-0005-0000-0000-000038050000}"/>
    <cellStyle name="SAPBEXheaderText 8" xfId="1233" xr:uid="{00000000-0005-0000-0000-000039050000}"/>
    <cellStyle name="SAPBEXheaderText 9" xfId="1234" xr:uid="{00000000-0005-0000-0000-00003A050000}"/>
    <cellStyle name="SAPBEXheaderText_gxaccion, 68" xfId="1235" xr:uid="{00000000-0005-0000-0000-00003B050000}"/>
    <cellStyle name="SAPBEXHLevel0" xfId="1236" xr:uid="{00000000-0005-0000-0000-00003C050000}"/>
    <cellStyle name="SAPBEXHLevel0 10" xfId="1237" xr:uid="{00000000-0005-0000-0000-00003D050000}"/>
    <cellStyle name="SAPBEXHLevel0 11" xfId="1238" xr:uid="{00000000-0005-0000-0000-00003E050000}"/>
    <cellStyle name="SAPBEXHLevel0 12" xfId="1752" xr:uid="{00000000-0005-0000-0000-00003F050000}"/>
    <cellStyle name="SAPBEXHLevel0 2" xfId="1239" xr:uid="{00000000-0005-0000-0000-000040050000}"/>
    <cellStyle name="SAPBEXHLevel0 2 2" xfId="1240" xr:uid="{00000000-0005-0000-0000-000041050000}"/>
    <cellStyle name="SAPBEXHLevel0 2 2 2" xfId="1241" xr:uid="{00000000-0005-0000-0000-000042050000}"/>
    <cellStyle name="SAPBEXHLevel0 2 2 3" xfId="1753" xr:uid="{00000000-0005-0000-0000-000043050000}"/>
    <cellStyle name="SAPBEXHLevel0 3" xfId="1242" xr:uid="{00000000-0005-0000-0000-000044050000}"/>
    <cellStyle name="SAPBEXHLevel0 4" xfId="1243" xr:uid="{00000000-0005-0000-0000-000045050000}"/>
    <cellStyle name="SAPBEXHLevel0 5" xfId="1244" xr:uid="{00000000-0005-0000-0000-000046050000}"/>
    <cellStyle name="SAPBEXHLevel0 6" xfId="1245" xr:uid="{00000000-0005-0000-0000-000047050000}"/>
    <cellStyle name="SAPBEXHLevel0 7" xfId="1246" xr:uid="{00000000-0005-0000-0000-000048050000}"/>
    <cellStyle name="SAPBEXHLevel0 8" xfId="1247" xr:uid="{00000000-0005-0000-0000-000049050000}"/>
    <cellStyle name="SAPBEXHLevel0 9" xfId="1248" xr:uid="{00000000-0005-0000-0000-00004A050000}"/>
    <cellStyle name="SAPBEXHLevel0_gxaccion, 68" xfId="1249" xr:uid="{00000000-0005-0000-0000-00004B050000}"/>
    <cellStyle name="SAPBEXHLevel0X" xfId="1250" xr:uid="{00000000-0005-0000-0000-00004C050000}"/>
    <cellStyle name="SAPBEXHLevel0X 10" xfId="1251" xr:uid="{00000000-0005-0000-0000-00004D050000}"/>
    <cellStyle name="SAPBEXHLevel0X 11" xfId="1252" xr:uid="{00000000-0005-0000-0000-00004E050000}"/>
    <cellStyle name="SAPBEXHLevel0X 12" xfId="1754" xr:uid="{00000000-0005-0000-0000-00004F050000}"/>
    <cellStyle name="SAPBEXHLevel0X 2" xfId="1253" xr:uid="{00000000-0005-0000-0000-000050050000}"/>
    <cellStyle name="SAPBEXHLevel0X 2 2" xfId="1254" xr:uid="{00000000-0005-0000-0000-000051050000}"/>
    <cellStyle name="SAPBEXHLevel0X 2 2 2" xfId="1255" xr:uid="{00000000-0005-0000-0000-000052050000}"/>
    <cellStyle name="SAPBEXHLevel0X 2 2 3" xfId="1755" xr:uid="{00000000-0005-0000-0000-000053050000}"/>
    <cellStyle name="SAPBEXHLevel0X 3" xfId="1256" xr:uid="{00000000-0005-0000-0000-000054050000}"/>
    <cellStyle name="SAPBEXHLevel0X 4" xfId="1257" xr:uid="{00000000-0005-0000-0000-000055050000}"/>
    <cellStyle name="SAPBEXHLevel0X 5" xfId="1258" xr:uid="{00000000-0005-0000-0000-000056050000}"/>
    <cellStyle name="SAPBEXHLevel0X 6" xfId="1259" xr:uid="{00000000-0005-0000-0000-000057050000}"/>
    <cellStyle name="SAPBEXHLevel0X 7" xfId="1260" xr:uid="{00000000-0005-0000-0000-000058050000}"/>
    <cellStyle name="SAPBEXHLevel0X 8" xfId="1261" xr:uid="{00000000-0005-0000-0000-000059050000}"/>
    <cellStyle name="SAPBEXHLevel0X 9" xfId="1262" xr:uid="{00000000-0005-0000-0000-00005A050000}"/>
    <cellStyle name="SAPBEXHLevel0X_gxaccion, 68" xfId="1263" xr:uid="{00000000-0005-0000-0000-00005B050000}"/>
    <cellStyle name="SAPBEXHLevel1" xfId="1264" xr:uid="{00000000-0005-0000-0000-00005C050000}"/>
    <cellStyle name="SAPBEXHLevel1 10" xfId="1265" xr:uid="{00000000-0005-0000-0000-00005D050000}"/>
    <cellStyle name="SAPBEXHLevel1 11" xfId="1266" xr:uid="{00000000-0005-0000-0000-00005E050000}"/>
    <cellStyle name="SAPBEXHLevel1 12" xfId="1756" xr:uid="{00000000-0005-0000-0000-00005F050000}"/>
    <cellStyle name="SAPBEXHLevel1 2" xfId="1267" xr:uid="{00000000-0005-0000-0000-000060050000}"/>
    <cellStyle name="SAPBEXHLevel1 2 2" xfId="1268" xr:uid="{00000000-0005-0000-0000-000061050000}"/>
    <cellStyle name="SAPBEXHLevel1 2 2 2" xfId="1269" xr:uid="{00000000-0005-0000-0000-000062050000}"/>
    <cellStyle name="SAPBEXHLevel1 2 2 3" xfId="1757" xr:uid="{00000000-0005-0000-0000-000063050000}"/>
    <cellStyle name="SAPBEXHLevel1 3" xfId="1270" xr:uid="{00000000-0005-0000-0000-000064050000}"/>
    <cellStyle name="SAPBEXHLevel1 4" xfId="1271" xr:uid="{00000000-0005-0000-0000-000065050000}"/>
    <cellStyle name="SAPBEXHLevel1 5" xfId="1272" xr:uid="{00000000-0005-0000-0000-000066050000}"/>
    <cellStyle name="SAPBEXHLevel1 6" xfId="1273" xr:uid="{00000000-0005-0000-0000-000067050000}"/>
    <cellStyle name="SAPBEXHLevel1 7" xfId="1274" xr:uid="{00000000-0005-0000-0000-000068050000}"/>
    <cellStyle name="SAPBEXHLevel1 8" xfId="1275" xr:uid="{00000000-0005-0000-0000-000069050000}"/>
    <cellStyle name="SAPBEXHLevel1 9" xfId="1276" xr:uid="{00000000-0005-0000-0000-00006A050000}"/>
    <cellStyle name="SAPBEXHLevel1_gxaccion, 68" xfId="1277" xr:uid="{00000000-0005-0000-0000-00006B050000}"/>
    <cellStyle name="SAPBEXHLevel1X" xfId="1278" xr:uid="{00000000-0005-0000-0000-00006C050000}"/>
    <cellStyle name="SAPBEXHLevel1X 10" xfId="1279" xr:uid="{00000000-0005-0000-0000-00006D050000}"/>
    <cellStyle name="SAPBEXHLevel1X 11" xfId="1280" xr:uid="{00000000-0005-0000-0000-00006E050000}"/>
    <cellStyle name="SAPBEXHLevel1X 12" xfId="1758" xr:uid="{00000000-0005-0000-0000-00006F050000}"/>
    <cellStyle name="SAPBEXHLevel1X 2" xfId="1281" xr:uid="{00000000-0005-0000-0000-000070050000}"/>
    <cellStyle name="SAPBEXHLevel1X 2 2" xfId="1282" xr:uid="{00000000-0005-0000-0000-000071050000}"/>
    <cellStyle name="SAPBEXHLevel1X 2 2 2" xfId="1283" xr:uid="{00000000-0005-0000-0000-000072050000}"/>
    <cellStyle name="SAPBEXHLevel1X 2 2 3" xfId="1759" xr:uid="{00000000-0005-0000-0000-000073050000}"/>
    <cellStyle name="SAPBEXHLevel1X 3" xfId="1284" xr:uid="{00000000-0005-0000-0000-000074050000}"/>
    <cellStyle name="SAPBEXHLevel1X 4" xfId="1285" xr:uid="{00000000-0005-0000-0000-000075050000}"/>
    <cellStyle name="SAPBEXHLevel1X 5" xfId="1286" xr:uid="{00000000-0005-0000-0000-000076050000}"/>
    <cellStyle name="SAPBEXHLevel1X 6" xfId="1287" xr:uid="{00000000-0005-0000-0000-000077050000}"/>
    <cellStyle name="SAPBEXHLevel1X 7" xfId="1288" xr:uid="{00000000-0005-0000-0000-000078050000}"/>
    <cellStyle name="SAPBEXHLevel1X 8" xfId="1289" xr:uid="{00000000-0005-0000-0000-000079050000}"/>
    <cellStyle name="SAPBEXHLevel1X 9" xfId="1290" xr:uid="{00000000-0005-0000-0000-00007A050000}"/>
    <cellStyle name="SAPBEXHLevel1X_gxaccion, 68" xfId="1291" xr:uid="{00000000-0005-0000-0000-00007B050000}"/>
    <cellStyle name="SAPBEXHLevel2" xfId="1292" xr:uid="{00000000-0005-0000-0000-00007C050000}"/>
    <cellStyle name="SAPBEXHLevel2 10" xfId="1293" xr:uid="{00000000-0005-0000-0000-00007D050000}"/>
    <cellStyle name="SAPBEXHLevel2 11" xfId="1294" xr:uid="{00000000-0005-0000-0000-00007E050000}"/>
    <cellStyle name="SAPBEXHLevel2 12" xfId="1760" xr:uid="{00000000-0005-0000-0000-00007F050000}"/>
    <cellStyle name="SAPBEXHLevel2 2" xfId="1295" xr:uid="{00000000-0005-0000-0000-000080050000}"/>
    <cellStyle name="SAPBEXHLevel2 2 2" xfId="1296" xr:uid="{00000000-0005-0000-0000-000081050000}"/>
    <cellStyle name="SAPBEXHLevel2 2 2 2" xfId="1297" xr:uid="{00000000-0005-0000-0000-000082050000}"/>
    <cellStyle name="SAPBEXHLevel2 2 2 3" xfId="1761" xr:uid="{00000000-0005-0000-0000-000083050000}"/>
    <cellStyle name="SAPBEXHLevel2 3" xfId="1298" xr:uid="{00000000-0005-0000-0000-000084050000}"/>
    <cellStyle name="SAPBEXHLevel2 4" xfId="1299" xr:uid="{00000000-0005-0000-0000-000085050000}"/>
    <cellStyle name="SAPBEXHLevel2 5" xfId="1300" xr:uid="{00000000-0005-0000-0000-000086050000}"/>
    <cellStyle name="SAPBEXHLevel2 6" xfId="1301" xr:uid="{00000000-0005-0000-0000-000087050000}"/>
    <cellStyle name="SAPBEXHLevel2 7" xfId="1302" xr:uid="{00000000-0005-0000-0000-000088050000}"/>
    <cellStyle name="SAPBEXHLevel2 8" xfId="1303" xr:uid="{00000000-0005-0000-0000-000089050000}"/>
    <cellStyle name="SAPBEXHLevel2 9" xfId="1304" xr:uid="{00000000-0005-0000-0000-00008A050000}"/>
    <cellStyle name="SAPBEXHLevel2_gxaccion, 68" xfId="1305" xr:uid="{00000000-0005-0000-0000-00008B050000}"/>
    <cellStyle name="SAPBEXHLevel2X" xfId="1306" xr:uid="{00000000-0005-0000-0000-00008C050000}"/>
    <cellStyle name="SAPBEXHLevel2X 10" xfId="1307" xr:uid="{00000000-0005-0000-0000-00008D050000}"/>
    <cellStyle name="SAPBEXHLevel2X 11" xfId="1308" xr:uid="{00000000-0005-0000-0000-00008E050000}"/>
    <cellStyle name="SAPBEXHLevel2X 12" xfId="1762" xr:uid="{00000000-0005-0000-0000-00008F050000}"/>
    <cellStyle name="SAPBEXHLevel2X 2" xfId="1309" xr:uid="{00000000-0005-0000-0000-000090050000}"/>
    <cellStyle name="SAPBEXHLevel2X 2 2" xfId="1310" xr:uid="{00000000-0005-0000-0000-000091050000}"/>
    <cellStyle name="SAPBEXHLevel2X 2 2 2" xfId="1311" xr:uid="{00000000-0005-0000-0000-000092050000}"/>
    <cellStyle name="SAPBEXHLevel2X 2 2 3" xfId="1763" xr:uid="{00000000-0005-0000-0000-000093050000}"/>
    <cellStyle name="SAPBEXHLevel2X 3" xfId="1312" xr:uid="{00000000-0005-0000-0000-000094050000}"/>
    <cellStyle name="SAPBEXHLevel2X 4" xfId="1313" xr:uid="{00000000-0005-0000-0000-000095050000}"/>
    <cellStyle name="SAPBEXHLevel2X 5" xfId="1314" xr:uid="{00000000-0005-0000-0000-000096050000}"/>
    <cellStyle name="SAPBEXHLevel2X 6" xfId="1315" xr:uid="{00000000-0005-0000-0000-000097050000}"/>
    <cellStyle name="SAPBEXHLevel2X 7" xfId="1316" xr:uid="{00000000-0005-0000-0000-000098050000}"/>
    <cellStyle name="SAPBEXHLevel2X 8" xfId="1317" xr:uid="{00000000-0005-0000-0000-000099050000}"/>
    <cellStyle name="SAPBEXHLevel2X 9" xfId="1318" xr:uid="{00000000-0005-0000-0000-00009A050000}"/>
    <cellStyle name="SAPBEXHLevel2X_gxaccion, 68" xfId="1319" xr:uid="{00000000-0005-0000-0000-00009B050000}"/>
    <cellStyle name="SAPBEXHLevel3" xfId="1320" xr:uid="{00000000-0005-0000-0000-00009C050000}"/>
    <cellStyle name="SAPBEXHLevel3 10" xfId="1321" xr:uid="{00000000-0005-0000-0000-00009D050000}"/>
    <cellStyle name="SAPBEXHLevel3 11" xfId="1322" xr:uid="{00000000-0005-0000-0000-00009E050000}"/>
    <cellStyle name="SAPBEXHLevel3 12" xfId="1764" xr:uid="{00000000-0005-0000-0000-00009F050000}"/>
    <cellStyle name="SAPBEXHLevel3 2" xfId="1323" xr:uid="{00000000-0005-0000-0000-0000A0050000}"/>
    <cellStyle name="SAPBEXHLevel3 2 2" xfId="1324" xr:uid="{00000000-0005-0000-0000-0000A1050000}"/>
    <cellStyle name="SAPBEXHLevel3 2 2 2" xfId="1325" xr:uid="{00000000-0005-0000-0000-0000A2050000}"/>
    <cellStyle name="SAPBEXHLevel3 2 2 3" xfId="1765" xr:uid="{00000000-0005-0000-0000-0000A3050000}"/>
    <cellStyle name="SAPBEXHLevel3 3" xfId="1326" xr:uid="{00000000-0005-0000-0000-0000A4050000}"/>
    <cellStyle name="SAPBEXHLevel3 4" xfId="1327" xr:uid="{00000000-0005-0000-0000-0000A5050000}"/>
    <cellStyle name="SAPBEXHLevel3 5" xfId="1328" xr:uid="{00000000-0005-0000-0000-0000A6050000}"/>
    <cellStyle name="SAPBEXHLevel3 6" xfId="1329" xr:uid="{00000000-0005-0000-0000-0000A7050000}"/>
    <cellStyle name="SAPBEXHLevel3 7" xfId="1330" xr:uid="{00000000-0005-0000-0000-0000A8050000}"/>
    <cellStyle name="SAPBEXHLevel3 8" xfId="1331" xr:uid="{00000000-0005-0000-0000-0000A9050000}"/>
    <cellStyle name="SAPBEXHLevel3 9" xfId="1332" xr:uid="{00000000-0005-0000-0000-0000AA050000}"/>
    <cellStyle name="SAPBEXHLevel3_gxaccion, 68" xfId="1333" xr:uid="{00000000-0005-0000-0000-0000AB050000}"/>
    <cellStyle name="SAPBEXHLevel3X" xfId="1334" xr:uid="{00000000-0005-0000-0000-0000AC050000}"/>
    <cellStyle name="SAPBEXHLevel3X 10" xfId="1335" xr:uid="{00000000-0005-0000-0000-0000AD050000}"/>
    <cellStyle name="SAPBEXHLevel3X 11" xfId="1336" xr:uid="{00000000-0005-0000-0000-0000AE050000}"/>
    <cellStyle name="SAPBEXHLevel3X 12" xfId="1766" xr:uid="{00000000-0005-0000-0000-0000AF050000}"/>
    <cellStyle name="SAPBEXHLevel3X 2" xfId="1337" xr:uid="{00000000-0005-0000-0000-0000B0050000}"/>
    <cellStyle name="SAPBEXHLevel3X 2 2" xfId="1338" xr:uid="{00000000-0005-0000-0000-0000B1050000}"/>
    <cellStyle name="SAPBEXHLevel3X 2 2 2" xfId="1339" xr:uid="{00000000-0005-0000-0000-0000B2050000}"/>
    <cellStyle name="SAPBEXHLevel3X 2 2 3" xfId="1767" xr:uid="{00000000-0005-0000-0000-0000B3050000}"/>
    <cellStyle name="SAPBEXHLevel3X 3" xfId="1340" xr:uid="{00000000-0005-0000-0000-0000B4050000}"/>
    <cellStyle name="SAPBEXHLevel3X 4" xfId="1341" xr:uid="{00000000-0005-0000-0000-0000B5050000}"/>
    <cellStyle name="SAPBEXHLevel3X 5" xfId="1342" xr:uid="{00000000-0005-0000-0000-0000B6050000}"/>
    <cellStyle name="SAPBEXHLevel3X 6" xfId="1343" xr:uid="{00000000-0005-0000-0000-0000B7050000}"/>
    <cellStyle name="SAPBEXHLevel3X 7" xfId="1344" xr:uid="{00000000-0005-0000-0000-0000B8050000}"/>
    <cellStyle name="SAPBEXHLevel3X 8" xfId="1345" xr:uid="{00000000-0005-0000-0000-0000B9050000}"/>
    <cellStyle name="SAPBEXHLevel3X 9" xfId="1346" xr:uid="{00000000-0005-0000-0000-0000BA050000}"/>
    <cellStyle name="SAPBEXHLevel3X_gxaccion, 68" xfId="1347" xr:uid="{00000000-0005-0000-0000-0000BB050000}"/>
    <cellStyle name="SAPBEXinputData" xfId="1348" xr:uid="{00000000-0005-0000-0000-0000BC050000}"/>
    <cellStyle name="SAPBEXinputData 10" xfId="1349" xr:uid="{00000000-0005-0000-0000-0000BD050000}"/>
    <cellStyle name="SAPBEXinputData 11" xfId="1350" xr:uid="{00000000-0005-0000-0000-0000BE050000}"/>
    <cellStyle name="SAPBEXinputData 12" xfId="1768" xr:uid="{00000000-0005-0000-0000-0000BF050000}"/>
    <cellStyle name="SAPBEXinputData 2" xfId="1351" xr:uid="{00000000-0005-0000-0000-0000C0050000}"/>
    <cellStyle name="SAPBEXinputData 2 2" xfId="1352" xr:uid="{00000000-0005-0000-0000-0000C1050000}"/>
    <cellStyle name="SAPBEXinputData 2 2 2" xfId="1353" xr:uid="{00000000-0005-0000-0000-0000C2050000}"/>
    <cellStyle name="SAPBEXinputData 2 2 3" xfId="1769" xr:uid="{00000000-0005-0000-0000-0000C3050000}"/>
    <cellStyle name="SAPBEXinputData 3" xfId="1354" xr:uid="{00000000-0005-0000-0000-0000C4050000}"/>
    <cellStyle name="SAPBEXinputData 4" xfId="1355" xr:uid="{00000000-0005-0000-0000-0000C5050000}"/>
    <cellStyle name="SAPBEXinputData 5" xfId="1356" xr:uid="{00000000-0005-0000-0000-0000C6050000}"/>
    <cellStyle name="SAPBEXinputData 6" xfId="1357" xr:uid="{00000000-0005-0000-0000-0000C7050000}"/>
    <cellStyle name="SAPBEXinputData 7" xfId="1358" xr:uid="{00000000-0005-0000-0000-0000C8050000}"/>
    <cellStyle name="SAPBEXinputData 8" xfId="1359" xr:uid="{00000000-0005-0000-0000-0000C9050000}"/>
    <cellStyle name="SAPBEXinputData 9" xfId="1360" xr:uid="{00000000-0005-0000-0000-0000CA050000}"/>
    <cellStyle name="SAPBEXinputData_gxaccion, 68" xfId="1361" xr:uid="{00000000-0005-0000-0000-0000CB050000}"/>
    <cellStyle name="SAPBEXItemHeader" xfId="1362" xr:uid="{00000000-0005-0000-0000-0000CC050000}"/>
    <cellStyle name="SAPBEXresData" xfId="1363" xr:uid="{00000000-0005-0000-0000-0000CD050000}"/>
    <cellStyle name="SAPBEXresData 10" xfId="1364" xr:uid="{00000000-0005-0000-0000-0000CE050000}"/>
    <cellStyle name="SAPBEXresData 11" xfId="1365" xr:uid="{00000000-0005-0000-0000-0000CF050000}"/>
    <cellStyle name="SAPBEXresData 2" xfId="1366" xr:uid="{00000000-0005-0000-0000-0000D0050000}"/>
    <cellStyle name="SAPBEXresData 2 2" xfId="1367" xr:uid="{00000000-0005-0000-0000-0000D1050000}"/>
    <cellStyle name="SAPBEXresData 2 2 2" xfId="1368" xr:uid="{00000000-0005-0000-0000-0000D2050000}"/>
    <cellStyle name="SAPBEXresData 3" xfId="1369" xr:uid="{00000000-0005-0000-0000-0000D3050000}"/>
    <cellStyle name="SAPBEXresData 4" xfId="1370" xr:uid="{00000000-0005-0000-0000-0000D4050000}"/>
    <cellStyle name="SAPBEXresData 5" xfId="1371" xr:uid="{00000000-0005-0000-0000-0000D5050000}"/>
    <cellStyle name="SAPBEXresData 6" xfId="1372" xr:uid="{00000000-0005-0000-0000-0000D6050000}"/>
    <cellStyle name="SAPBEXresData 7" xfId="1373" xr:uid="{00000000-0005-0000-0000-0000D7050000}"/>
    <cellStyle name="SAPBEXresData 8" xfId="1374" xr:uid="{00000000-0005-0000-0000-0000D8050000}"/>
    <cellStyle name="SAPBEXresData 9" xfId="1375" xr:uid="{00000000-0005-0000-0000-0000D9050000}"/>
    <cellStyle name="SAPBEXresData_valor justo.junio2010" xfId="1376" xr:uid="{00000000-0005-0000-0000-0000DA050000}"/>
    <cellStyle name="SAPBEXresDataEmph" xfId="1377" xr:uid="{00000000-0005-0000-0000-0000DB050000}"/>
    <cellStyle name="SAPBEXresDataEmph 10" xfId="1378" xr:uid="{00000000-0005-0000-0000-0000DC050000}"/>
    <cellStyle name="SAPBEXresDataEmph 11" xfId="1379" xr:uid="{00000000-0005-0000-0000-0000DD050000}"/>
    <cellStyle name="SAPBEXresDataEmph 2" xfId="1380" xr:uid="{00000000-0005-0000-0000-0000DE050000}"/>
    <cellStyle name="SAPBEXresDataEmph 2 2" xfId="1381" xr:uid="{00000000-0005-0000-0000-0000DF050000}"/>
    <cellStyle name="SAPBEXresDataEmph 2 2 2" xfId="1382" xr:uid="{00000000-0005-0000-0000-0000E0050000}"/>
    <cellStyle name="SAPBEXresDataEmph 3" xfId="1383" xr:uid="{00000000-0005-0000-0000-0000E1050000}"/>
    <cellStyle name="SAPBEXresDataEmph 4" xfId="1384" xr:uid="{00000000-0005-0000-0000-0000E2050000}"/>
    <cellStyle name="SAPBEXresDataEmph 5" xfId="1385" xr:uid="{00000000-0005-0000-0000-0000E3050000}"/>
    <cellStyle name="SAPBEXresDataEmph 6" xfId="1386" xr:uid="{00000000-0005-0000-0000-0000E4050000}"/>
    <cellStyle name="SAPBEXresDataEmph 7" xfId="1387" xr:uid="{00000000-0005-0000-0000-0000E5050000}"/>
    <cellStyle name="SAPBEXresDataEmph 8" xfId="1388" xr:uid="{00000000-0005-0000-0000-0000E6050000}"/>
    <cellStyle name="SAPBEXresDataEmph 9" xfId="1389" xr:uid="{00000000-0005-0000-0000-0000E7050000}"/>
    <cellStyle name="SAPBEXresDataEmph_valor justo.junio2010" xfId="1390" xr:uid="{00000000-0005-0000-0000-0000E8050000}"/>
    <cellStyle name="SAPBEXresItem" xfId="1391" xr:uid="{00000000-0005-0000-0000-0000E9050000}"/>
    <cellStyle name="SAPBEXresItem 10" xfId="1392" xr:uid="{00000000-0005-0000-0000-0000EA050000}"/>
    <cellStyle name="SAPBEXresItem 11" xfId="1393" xr:uid="{00000000-0005-0000-0000-0000EB050000}"/>
    <cellStyle name="SAPBEXresItem 2" xfId="1394" xr:uid="{00000000-0005-0000-0000-0000EC050000}"/>
    <cellStyle name="SAPBEXresItem 2 2" xfId="1395" xr:uid="{00000000-0005-0000-0000-0000ED050000}"/>
    <cellStyle name="SAPBEXresItem 2 2 2" xfId="1396" xr:uid="{00000000-0005-0000-0000-0000EE050000}"/>
    <cellStyle name="SAPBEXresItem 3" xfId="1397" xr:uid="{00000000-0005-0000-0000-0000EF050000}"/>
    <cellStyle name="SAPBEXresItem 4" xfId="1398" xr:uid="{00000000-0005-0000-0000-0000F0050000}"/>
    <cellStyle name="SAPBEXresItem 5" xfId="1399" xr:uid="{00000000-0005-0000-0000-0000F1050000}"/>
    <cellStyle name="SAPBEXresItem 6" xfId="1400" xr:uid="{00000000-0005-0000-0000-0000F2050000}"/>
    <cellStyle name="SAPBEXresItem 7" xfId="1401" xr:uid="{00000000-0005-0000-0000-0000F3050000}"/>
    <cellStyle name="SAPBEXresItem 8" xfId="1402" xr:uid="{00000000-0005-0000-0000-0000F4050000}"/>
    <cellStyle name="SAPBEXresItem 9" xfId="1403" xr:uid="{00000000-0005-0000-0000-0000F5050000}"/>
    <cellStyle name="SAPBEXresItem_valor justo.junio2010" xfId="1404" xr:uid="{00000000-0005-0000-0000-0000F6050000}"/>
    <cellStyle name="SAPBEXresItemX" xfId="1405" xr:uid="{00000000-0005-0000-0000-0000F7050000}"/>
    <cellStyle name="SAPBEXresItemX 10" xfId="1406" xr:uid="{00000000-0005-0000-0000-0000F8050000}"/>
    <cellStyle name="SAPBEXresItemX 11" xfId="1407" xr:uid="{00000000-0005-0000-0000-0000F9050000}"/>
    <cellStyle name="SAPBEXresItemX 2" xfId="1408" xr:uid="{00000000-0005-0000-0000-0000FA050000}"/>
    <cellStyle name="SAPBEXresItemX 2 2" xfId="1409" xr:uid="{00000000-0005-0000-0000-0000FB050000}"/>
    <cellStyle name="SAPBEXresItemX 2 2 2" xfId="1410" xr:uid="{00000000-0005-0000-0000-0000FC050000}"/>
    <cellStyle name="SAPBEXresItemX 3" xfId="1411" xr:uid="{00000000-0005-0000-0000-0000FD050000}"/>
    <cellStyle name="SAPBEXresItemX 4" xfId="1412" xr:uid="{00000000-0005-0000-0000-0000FE050000}"/>
    <cellStyle name="SAPBEXresItemX 5" xfId="1413" xr:uid="{00000000-0005-0000-0000-0000FF050000}"/>
    <cellStyle name="SAPBEXresItemX 6" xfId="1414" xr:uid="{00000000-0005-0000-0000-000000060000}"/>
    <cellStyle name="SAPBEXresItemX 7" xfId="1415" xr:uid="{00000000-0005-0000-0000-000001060000}"/>
    <cellStyle name="SAPBEXresItemX 8" xfId="1416" xr:uid="{00000000-0005-0000-0000-000002060000}"/>
    <cellStyle name="SAPBEXresItemX 9" xfId="1417" xr:uid="{00000000-0005-0000-0000-000003060000}"/>
    <cellStyle name="SAPBEXresItemX_valor justo.junio2010" xfId="1418" xr:uid="{00000000-0005-0000-0000-000004060000}"/>
    <cellStyle name="SAPBEXstdData" xfId="1419" xr:uid="{00000000-0005-0000-0000-000005060000}"/>
    <cellStyle name="SAPBEXstdData 10" xfId="1420" xr:uid="{00000000-0005-0000-0000-000006060000}"/>
    <cellStyle name="SAPBEXstdData 11" xfId="1421" xr:uid="{00000000-0005-0000-0000-000007060000}"/>
    <cellStyle name="SAPBEXstdData 2" xfId="1422" xr:uid="{00000000-0005-0000-0000-000008060000}"/>
    <cellStyle name="SAPBEXstdData 2 2" xfId="1423" xr:uid="{00000000-0005-0000-0000-000009060000}"/>
    <cellStyle name="SAPBEXstdData 2 2 2" xfId="1424" xr:uid="{00000000-0005-0000-0000-00000A060000}"/>
    <cellStyle name="SAPBEXstdData 3" xfId="1425" xr:uid="{00000000-0005-0000-0000-00000B060000}"/>
    <cellStyle name="SAPBEXstdData 4" xfId="1426" xr:uid="{00000000-0005-0000-0000-00000C060000}"/>
    <cellStyle name="SAPBEXstdData 5" xfId="1427" xr:uid="{00000000-0005-0000-0000-00000D060000}"/>
    <cellStyle name="SAPBEXstdData 6" xfId="1428" xr:uid="{00000000-0005-0000-0000-00000E060000}"/>
    <cellStyle name="SAPBEXstdData 7" xfId="1429" xr:uid="{00000000-0005-0000-0000-00000F060000}"/>
    <cellStyle name="SAPBEXstdData 8" xfId="1430" xr:uid="{00000000-0005-0000-0000-000010060000}"/>
    <cellStyle name="SAPBEXstdData 9" xfId="1431" xr:uid="{00000000-0005-0000-0000-000011060000}"/>
    <cellStyle name="SAPBEXstdData_gxaccion, 68" xfId="1432" xr:uid="{00000000-0005-0000-0000-000012060000}"/>
    <cellStyle name="SAPBEXstdDataEmph" xfId="1433" xr:uid="{00000000-0005-0000-0000-000013060000}"/>
    <cellStyle name="SAPBEXstdDataEmph 10" xfId="1434" xr:uid="{00000000-0005-0000-0000-000014060000}"/>
    <cellStyle name="SAPBEXstdDataEmph 11" xfId="1435" xr:uid="{00000000-0005-0000-0000-000015060000}"/>
    <cellStyle name="SAPBEXstdDataEmph 2" xfId="1436" xr:uid="{00000000-0005-0000-0000-000016060000}"/>
    <cellStyle name="SAPBEXstdDataEmph 2 2" xfId="1437" xr:uid="{00000000-0005-0000-0000-000017060000}"/>
    <cellStyle name="SAPBEXstdDataEmph 2 2 2" xfId="1438" xr:uid="{00000000-0005-0000-0000-000018060000}"/>
    <cellStyle name="SAPBEXstdDataEmph 3" xfId="1439" xr:uid="{00000000-0005-0000-0000-000019060000}"/>
    <cellStyle name="SAPBEXstdDataEmph 4" xfId="1440" xr:uid="{00000000-0005-0000-0000-00001A060000}"/>
    <cellStyle name="SAPBEXstdDataEmph 5" xfId="1441" xr:uid="{00000000-0005-0000-0000-00001B060000}"/>
    <cellStyle name="SAPBEXstdDataEmph 6" xfId="1442" xr:uid="{00000000-0005-0000-0000-00001C060000}"/>
    <cellStyle name="SAPBEXstdDataEmph 7" xfId="1443" xr:uid="{00000000-0005-0000-0000-00001D060000}"/>
    <cellStyle name="SAPBEXstdDataEmph 8" xfId="1444" xr:uid="{00000000-0005-0000-0000-00001E060000}"/>
    <cellStyle name="SAPBEXstdDataEmph 9" xfId="1445" xr:uid="{00000000-0005-0000-0000-00001F060000}"/>
    <cellStyle name="SAPBEXstdDataEmph_valor justo.junio2010" xfId="1446" xr:uid="{00000000-0005-0000-0000-000020060000}"/>
    <cellStyle name="SAPBEXstdItem" xfId="1447" xr:uid="{00000000-0005-0000-0000-000021060000}"/>
    <cellStyle name="SAPBEXstdItem 10" xfId="1448" xr:uid="{00000000-0005-0000-0000-000022060000}"/>
    <cellStyle name="SAPBEXstdItem 10 2" xfId="1770" xr:uid="{00000000-0005-0000-0000-000023060000}"/>
    <cellStyle name="SAPBEXstdItem 11" xfId="1449" xr:uid="{00000000-0005-0000-0000-000024060000}"/>
    <cellStyle name="SAPBEXstdItem 11 2" xfId="1771" xr:uid="{00000000-0005-0000-0000-000025060000}"/>
    <cellStyle name="SAPBEXstdItem 2" xfId="1450" xr:uid="{00000000-0005-0000-0000-000026060000}"/>
    <cellStyle name="SAPBEXstdItem 2 2" xfId="1451" xr:uid="{00000000-0005-0000-0000-000027060000}"/>
    <cellStyle name="SAPBEXstdItem 2 2 2" xfId="1452" xr:uid="{00000000-0005-0000-0000-000028060000}"/>
    <cellStyle name="SAPBEXstdItem 3" xfId="1453" xr:uid="{00000000-0005-0000-0000-000029060000}"/>
    <cellStyle name="SAPBEXstdItem 4" xfId="1454" xr:uid="{00000000-0005-0000-0000-00002A060000}"/>
    <cellStyle name="SAPBEXstdItem 5" xfId="1455" xr:uid="{00000000-0005-0000-0000-00002B060000}"/>
    <cellStyle name="SAPBEXstdItem 6" xfId="1456" xr:uid="{00000000-0005-0000-0000-00002C060000}"/>
    <cellStyle name="SAPBEXstdItem 7" xfId="1457" xr:uid="{00000000-0005-0000-0000-00002D060000}"/>
    <cellStyle name="SAPBEXstdItem 7 2" xfId="1772" xr:uid="{00000000-0005-0000-0000-00002E060000}"/>
    <cellStyle name="SAPBEXstdItem 8" xfId="1458" xr:uid="{00000000-0005-0000-0000-00002F060000}"/>
    <cellStyle name="SAPBEXstdItem 8 2" xfId="1773" xr:uid="{00000000-0005-0000-0000-000030060000}"/>
    <cellStyle name="SAPBEXstdItem 9" xfId="1459" xr:uid="{00000000-0005-0000-0000-000031060000}"/>
    <cellStyle name="SAPBEXstdItem 9 2" xfId="1774" xr:uid="{00000000-0005-0000-0000-000032060000}"/>
    <cellStyle name="SAPBEXstdItem_gxaccion, 68" xfId="1460" xr:uid="{00000000-0005-0000-0000-000033060000}"/>
    <cellStyle name="SAPBEXstdItemX" xfId="1461" xr:uid="{00000000-0005-0000-0000-000034060000}"/>
    <cellStyle name="SAPBEXstdItemX 10" xfId="1462" xr:uid="{00000000-0005-0000-0000-000035060000}"/>
    <cellStyle name="SAPBEXstdItemX 11" xfId="1463" xr:uid="{00000000-0005-0000-0000-000036060000}"/>
    <cellStyle name="SAPBEXstdItemX 2" xfId="1464" xr:uid="{00000000-0005-0000-0000-000037060000}"/>
    <cellStyle name="SAPBEXstdItemX 2 2" xfId="1465" xr:uid="{00000000-0005-0000-0000-000038060000}"/>
    <cellStyle name="SAPBEXstdItemX 2 2 2" xfId="1466" xr:uid="{00000000-0005-0000-0000-000039060000}"/>
    <cellStyle name="SAPBEXstdItemX 3" xfId="1467" xr:uid="{00000000-0005-0000-0000-00003A060000}"/>
    <cellStyle name="SAPBEXstdItemX 4" xfId="1468" xr:uid="{00000000-0005-0000-0000-00003B060000}"/>
    <cellStyle name="SAPBEXstdItemX 5" xfId="1469" xr:uid="{00000000-0005-0000-0000-00003C060000}"/>
    <cellStyle name="SAPBEXstdItemX 6" xfId="1470" xr:uid="{00000000-0005-0000-0000-00003D060000}"/>
    <cellStyle name="SAPBEXstdItemX 7" xfId="1471" xr:uid="{00000000-0005-0000-0000-00003E060000}"/>
    <cellStyle name="SAPBEXstdItemX 8" xfId="1472" xr:uid="{00000000-0005-0000-0000-00003F060000}"/>
    <cellStyle name="SAPBEXstdItemX 9" xfId="1473" xr:uid="{00000000-0005-0000-0000-000040060000}"/>
    <cellStyle name="SAPBEXstdItemX_valor justo.junio2010" xfId="1474" xr:uid="{00000000-0005-0000-0000-000041060000}"/>
    <cellStyle name="SAPBEXtitle" xfId="1475" xr:uid="{00000000-0005-0000-0000-000042060000}"/>
    <cellStyle name="SAPBEXtitle 10" xfId="1476" xr:uid="{00000000-0005-0000-0000-000043060000}"/>
    <cellStyle name="SAPBEXtitle 11" xfId="1477" xr:uid="{00000000-0005-0000-0000-000044060000}"/>
    <cellStyle name="SAPBEXtitle 2" xfId="1478" xr:uid="{00000000-0005-0000-0000-000045060000}"/>
    <cellStyle name="SAPBEXtitle 2 2" xfId="1479" xr:uid="{00000000-0005-0000-0000-000046060000}"/>
    <cellStyle name="SAPBEXtitle 2 2 2" xfId="1480" xr:uid="{00000000-0005-0000-0000-000047060000}"/>
    <cellStyle name="SAPBEXtitle 3" xfId="1481" xr:uid="{00000000-0005-0000-0000-000048060000}"/>
    <cellStyle name="SAPBEXtitle 4" xfId="1482" xr:uid="{00000000-0005-0000-0000-000049060000}"/>
    <cellStyle name="SAPBEXtitle 5" xfId="1483" xr:uid="{00000000-0005-0000-0000-00004A060000}"/>
    <cellStyle name="SAPBEXtitle 6" xfId="1484" xr:uid="{00000000-0005-0000-0000-00004B060000}"/>
    <cellStyle name="SAPBEXtitle 7" xfId="1485" xr:uid="{00000000-0005-0000-0000-00004C060000}"/>
    <cellStyle name="SAPBEXtitle 8" xfId="1486" xr:uid="{00000000-0005-0000-0000-00004D060000}"/>
    <cellStyle name="SAPBEXtitle 9" xfId="1487" xr:uid="{00000000-0005-0000-0000-00004E060000}"/>
    <cellStyle name="SAPBEXunassignedItem" xfId="1488" xr:uid="{00000000-0005-0000-0000-00004F060000}"/>
    <cellStyle name="SAPBEXunassignedItem 2" xfId="1489" xr:uid="{00000000-0005-0000-0000-000050060000}"/>
    <cellStyle name="SAPBEXunassignedItem 3" xfId="1490" xr:uid="{00000000-0005-0000-0000-000051060000}"/>
    <cellStyle name="SAPBEXunassignedItem 4" xfId="1491" xr:uid="{00000000-0005-0000-0000-000052060000}"/>
    <cellStyle name="SAPBEXunassignedItem 5" xfId="1492" xr:uid="{00000000-0005-0000-0000-000053060000}"/>
    <cellStyle name="SAPBEXundefined" xfId="1493" xr:uid="{00000000-0005-0000-0000-000054060000}"/>
    <cellStyle name="SAPBEXundefined 10" xfId="1494" xr:uid="{00000000-0005-0000-0000-000055060000}"/>
    <cellStyle name="SAPBEXundefined 11" xfId="1495" xr:uid="{00000000-0005-0000-0000-000056060000}"/>
    <cellStyle name="SAPBEXundefined 2" xfId="1496" xr:uid="{00000000-0005-0000-0000-000057060000}"/>
    <cellStyle name="SAPBEXundefined 2 2" xfId="1497" xr:uid="{00000000-0005-0000-0000-000058060000}"/>
    <cellStyle name="SAPBEXundefined 2 2 2" xfId="1498" xr:uid="{00000000-0005-0000-0000-000059060000}"/>
    <cellStyle name="SAPBEXundefined 3" xfId="1499" xr:uid="{00000000-0005-0000-0000-00005A060000}"/>
    <cellStyle name="SAPBEXundefined 4" xfId="1500" xr:uid="{00000000-0005-0000-0000-00005B060000}"/>
    <cellStyle name="SAPBEXundefined 5" xfId="1501" xr:uid="{00000000-0005-0000-0000-00005C060000}"/>
    <cellStyle name="SAPBEXundefined 6" xfId="1502" xr:uid="{00000000-0005-0000-0000-00005D060000}"/>
    <cellStyle name="SAPBEXundefined 7" xfId="1503" xr:uid="{00000000-0005-0000-0000-00005E060000}"/>
    <cellStyle name="SAPBEXundefined 8" xfId="1504" xr:uid="{00000000-0005-0000-0000-00005F060000}"/>
    <cellStyle name="SAPBEXundefined 9" xfId="1505" xr:uid="{00000000-0005-0000-0000-000060060000}"/>
    <cellStyle name="SAPBEXundefined_valor justo.junio2010" xfId="1506" xr:uid="{00000000-0005-0000-0000-000061060000}"/>
    <cellStyle name="Sheet Title" xfId="1507" xr:uid="{00000000-0005-0000-0000-000062060000}"/>
    <cellStyle name="Suma" xfId="1508" xr:uid="{00000000-0005-0000-0000-000063060000}"/>
    <cellStyle name="Tekst obja?nienia" xfId="1509" xr:uid="{00000000-0005-0000-0000-000064060000}"/>
    <cellStyle name="Tekst objaśnienia" xfId="1510" xr:uid="{00000000-0005-0000-0000-000065060000}"/>
    <cellStyle name="Tekst ostrze?enia" xfId="1511" xr:uid="{00000000-0005-0000-0000-000066060000}"/>
    <cellStyle name="Tekst ostrzeżenia" xfId="1512" xr:uid="{00000000-0005-0000-0000-000067060000}"/>
    <cellStyle name="Texto de advertencia 2" xfId="1513" xr:uid="{00000000-0005-0000-0000-000069060000}"/>
    <cellStyle name="Texto de advertencia 2 2" xfId="1514" xr:uid="{00000000-0005-0000-0000-00006A060000}"/>
    <cellStyle name="Texto de advertencia 2 3" xfId="1515" xr:uid="{00000000-0005-0000-0000-00006B060000}"/>
    <cellStyle name="Texto de advertencia 2 4" xfId="1516" xr:uid="{00000000-0005-0000-0000-00006C060000}"/>
    <cellStyle name="Texto de advertencia 2 5" xfId="1517" xr:uid="{00000000-0005-0000-0000-00006D060000}"/>
    <cellStyle name="Texto de advertencia 2 6" xfId="1518" xr:uid="{00000000-0005-0000-0000-00006E060000}"/>
    <cellStyle name="Texto de advertencia 3" xfId="1519" xr:uid="{00000000-0005-0000-0000-00006F060000}"/>
    <cellStyle name="Texto de advertencia 3 2" xfId="1520" xr:uid="{00000000-0005-0000-0000-000070060000}"/>
    <cellStyle name="Texto de advertencia 3 3" xfId="1521" xr:uid="{00000000-0005-0000-0000-000071060000}"/>
    <cellStyle name="Texto de advertencia 3 4" xfId="1522" xr:uid="{00000000-0005-0000-0000-000072060000}"/>
    <cellStyle name="Texto de advertencia 3 5" xfId="1523" xr:uid="{00000000-0005-0000-0000-000073060000}"/>
    <cellStyle name="Texto de advertencia 4" xfId="1524" xr:uid="{00000000-0005-0000-0000-000074060000}"/>
    <cellStyle name="Texto de advertencia 4 2" xfId="1525" xr:uid="{00000000-0005-0000-0000-000075060000}"/>
    <cellStyle name="Texto de advertencia 4 3" xfId="1526" xr:uid="{00000000-0005-0000-0000-000076060000}"/>
    <cellStyle name="Texto de advertencia 4 4" xfId="1527" xr:uid="{00000000-0005-0000-0000-000077060000}"/>
    <cellStyle name="Texto de advertencia 4 5" xfId="1528" xr:uid="{00000000-0005-0000-0000-000078060000}"/>
    <cellStyle name="Texto de advertencia 5" xfId="1529" xr:uid="{00000000-0005-0000-0000-000079060000}"/>
    <cellStyle name="Texto de advertencia 5 2" xfId="1530" xr:uid="{00000000-0005-0000-0000-00007A060000}"/>
    <cellStyle name="Texto de advertencia 5 3" xfId="1531" xr:uid="{00000000-0005-0000-0000-00007B060000}"/>
    <cellStyle name="Texto de advertencia 5 4" xfId="1532" xr:uid="{00000000-0005-0000-0000-00007C060000}"/>
    <cellStyle name="Texto de advertencia 5 5" xfId="1533" xr:uid="{00000000-0005-0000-0000-00007D060000}"/>
    <cellStyle name="Texto de advertencia 6" xfId="1534" xr:uid="{00000000-0005-0000-0000-00007E060000}"/>
    <cellStyle name="Texto de advertencia 6 2" xfId="1535" xr:uid="{00000000-0005-0000-0000-00007F060000}"/>
    <cellStyle name="Texto de advertencia 7" xfId="1536" xr:uid="{00000000-0005-0000-0000-000080060000}"/>
    <cellStyle name="Texto de advertencia 8" xfId="1537" xr:uid="{00000000-0005-0000-0000-000081060000}"/>
    <cellStyle name="Texto de advertencia 9" xfId="1538" xr:uid="{00000000-0005-0000-0000-000082060000}"/>
    <cellStyle name="Texto explicativo 2 2" xfId="1540" xr:uid="{00000000-0005-0000-0000-000083060000}"/>
    <cellStyle name="Title" xfId="1541" xr:uid="{00000000-0005-0000-0000-000084060000}"/>
    <cellStyle name="Título 1 2" xfId="1542" xr:uid="{00000000-0005-0000-0000-000085060000}"/>
    <cellStyle name="Título 1 2 2" xfId="1543" xr:uid="{00000000-0005-0000-0000-000086060000}"/>
    <cellStyle name="Título 1 2 3" xfId="1544" xr:uid="{00000000-0005-0000-0000-000087060000}"/>
    <cellStyle name="Título 1 2 4" xfId="1545" xr:uid="{00000000-0005-0000-0000-000088060000}"/>
    <cellStyle name="Título 1 2 5" xfId="1546" xr:uid="{00000000-0005-0000-0000-000089060000}"/>
    <cellStyle name="Título 1 2 6" xfId="1547" xr:uid="{00000000-0005-0000-0000-00008A060000}"/>
    <cellStyle name="Título 1 3" xfId="1548" xr:uid="{00000000-0005-0000-0000-00008B060000}"/>
    <cellStyle name="Título 1 3 2" xfId="1549" xr:uid="{00000000-0005-0000-0000-00008C060000}"/>
    <cellStyle name="Título 1 3 3" xfId="1550" xr:uid="{00000000-0005-0000-0000-00008D060000}"/>
    <cellStyle name="Título 1 3 4" xfId="1551" xr:uid="{00000000-0005-0000-0000-00008E060000}"/>
    <cellStyle name="Título 1 3 5" xfId="1552" xr:uid="{00000000-0005-0000-0000-00008F060000}"/>
    <cellStyle name="Título 1 4" xfId="1553" xr:uid="{00000000-0005-0000-0000-000090060000}"/>
    <cellStyle name="Título 1 4 2" xfId="1554" xr:uid="{00000000-0005-0000-0000-000091060000}"/>
    <cellStyle name="Título 1 4 3" xfId="1555" xr:uid="{00000000-0005-0000-0000-000092060000}"/>
    <cellStyle name="Título 1 4 4" xfId="1556" xr:uid="{00000000-0005-0000-0000-000093060000}"/>
    <cellStyle name="Título 1 4 5" xfId="1557" xr:uid="{00000000-0005-0000-0000-000094060000}"/>
    <cellStyle name="Título 1 5" xfId="1558" xr:uid="{00000000-0005-0000-0000-000095060000}"/>
    <cellStyle name="Título 1 5 2" xfId="1559" xr:uid="{00000000-0005-0000-0000-000096060000}"/>
    <cellStyle name="Título 1 5 3" xfId="1560" xr:uid="{00000000-0005-0000-0000-000097060000}"/>
    <cellStyle name="Título 1 5 4" xfId="1561" xr:uid="{00000000-0005-0000-0000-000098060000}"/>
    <cellStyle name="Título 1 5 5" xfId="1562" xr:uid="{00000000-0005-0000-0000-000099060000}"/>
    <cellStyle name="Título 1 6" xfId="1563" xr:uid="{00000000-0005-0000-0000-00009A060000}"/>
    <cellStyle name="Título 1 7" xfId="1564" xr:uid="{00000000-0005-0000-0000-00009B060000}"/>
    <cellStyle name="Título 1 8" xfId="1565" xr:uid="{00000000-0005-0000-0000-00009C060000}"/>
    <cellStyle name="Título 1 9" xfId="1566" xr:uid="{00000000-0005-0000-0000-00009D060000}"/>
    <cellStyle name="Título 2 2" xfId="1568" xr:uid="{00000000-0005-0000-0000-00009E060000}"/>
    <cellStyle name="Título 2 2 2" xfId="1569" xr:uid="{00000000-0005-0000-0000-00009F060000}"/>
    <cellStyle name="Título 2 2 3" xfId="1570" xr:uid="{00000000-0005-0000-0000-0000A0060000}"/>
    <cellStyle name="Título 2 2 4" xfId="1571" xr:uid="{00000000-0005-0000-0000-0000A1060000}"/>
    <cellStyle name="Título 2 2 5" xfId="1572" xr:uid="{00000000-0005-0000-0000-0000A2060000}"/>
    <cellStyle name="Título 2 2 6" xfId="1573" xr:uid="{00000000-0005-0000-0000-0000A3060000}"/>
    <cellStyle name="Título 2 3" xfId="1574" xr:uid="{00000000-0005-0000-0000-0000A4060000}"/>
    <cellStyle name="Título 2 3 2" xfId="1575" xr:uid="{00000000-0005-0000-0000-0000A5060000}"/>
    <cellStyle name="Título 2 3 3" xfId="1576" xr:uid="{00000000-0005-0000-0000-0000A6060000}"/>
    <cellStyle name="Título 2 3 4" xfId="1577" xr:uid="{00000000-0005-0000-0000-0000A7060000}"/>
    <cellStyle name="Título 2 3 5" xfId="1578" xr:uid="{00000000-0005-0000-0000-0000A8060000}"/>
    <cellStyle name="Título 2 4" xfId="1579" xr:uid="{00000000-0005-0000-0000-0000A9060000}"/>
    <cellStyle name="Título 2 4 2" xfId="1580" xr:uid="{00000000-0005-0000-0000-0000AA060000}"/>
    <cellStyle name="Título 2 4 3" xfId="1581" xr:uid="{00000000-0005-0000-0000-0000AB060000}"/>
    <cellStyle name="Título 2 4 4" xfId="1582" xr:uid="{00000000-0005-0000-0000-0000AC060000}"/>
    <cellStyle name="Título 2 4 5" xfId="1583" xr:uid="{00000000-0005-0000-0000-0000AD060000}"/>
    <cellStyle name="Título 2 5" xfId="1584" xr:uid="{00000000-0005-0000-0000-0000AE060000}"/>
    <cellStyle name="Título 2 5 2" xfId="1585" xr:uid="{00000000-0005-0000-0000-0000AF060000}"/>
    <cellStyle name="Título 2 5 3" xfId="1586" xr:uid="{00000000-0005-0000-0000-0000B0060000}"/>
    <cellStyle name="Título 2 5 4" xfId="1587" xr:uid="{00000000-0005-0000-0000-0000B1060000}"/>
    <cellStyle name="Título 2 5 5" xfId="1588" xr:uid="{00000000-0005-0000-0000-0000B2060000}"/>
    <cellStyle name="Título 2 6" xfId="1589" xr:uid="{00000000-0005-0000-0000-0000B3060000}"/>
    <cellStyle name="Título 2 6 2" xfId="1590" xr:uid="{00000000-0005-0000-0000-0000B4060000}"/>
    <cellStyle name="Título 2 7" xfId="1591" xr:uid="{00000000-0005-0000-0000-0000B5060000}"/>
    <cellStyle name="Título 2 8" xfId="1592" xr:uid="{00000000-0005-0000-0000-0000B6060000}"/>
    <cellStyle name="Título 2 9" xfId="1593" xr:uid="{00000000-0005-0000-0000-0000B7060000}"/>
    <cellStyle name="Título 3 2" xfId="1595" xr:uid="{00000000-0005-0000-0000-0000B8060000}"/>
    <cellStyle name="Título 3 2 2" xfId="1596" xr:uid="{00000000-0005-0000-0000-0000B9060000}"/>
    <cellStyle name="Título 3 2 3" xfId="1597" xr:uid="{00000000-0005-0000-0000-0000BA060000}"/>
    <cellStyle name="Título 3 2 4" xfId="1598" xr:uid="{00000000-0005-0000-0000-0000BB060000}"/>
    <cellStyle name="Título 3 2 5" xfId="1599" xr:uid="{00000000-0005-0000-0000-0000BC060000}"/>
    <cellStyle name="Título 3 2 6" xfId="1600" xr:uid="{00000000-0005-0000-0000-0000BD060000}"/>
    <cellStyle name="Título 3 3" xfId="1601" xr:uid="{00000000-0005-0000-0000-0000BE060000}"/>
    <cellStyle name="Título 3 3 2" xfId="1602" xr:uid="{00000000-0005-0000-0000-0000BF060000}"/>
    <cellStyle name="Título 3 3 3" xfId="1603" xr:uid="{00000000-0005-0000-0000-0000C0060000}"/>
    <cellStyle name="Título 3 3 4" xfId="1604" xr:uid="{00000000-0005-0000-0000-0000C1060000}"/>
    <cellStyle name="Título 3 3 5" xfId="1605" xr:uid="{00000000-0005-0000-0000-0000C2060000}"/>
    <cellStyle name="Título 3 4" xfId="1606" xr:uid="{00000000-0005-0000-0000-0000C3060000}"/>
    <cellStyle name="Título 3 4 2" xfId="1607" xr:uid="{00000000-0005-0000-0000-0000C4060000}"/>
    <cellStyle name="Título 3 4 3" xfId="1608" xr:uid="{00000000-0005-0000-0000-0000C5060000}"/>
    <cellStyle name="Título 3 4 4" xfId="1609" xr:uid="{00000000-0005-0000-0000-0000C6060000}"/>
    <cellStyle name="Título 3 4 5" xfId="1610" xr:uid="{00000000-0005-0000-0000-0000C7060000}"/>
    <cellStyle name="Título 3 5" xfId="1611" xr:uid="{00000000-0005-0000-0000-0000C8060000}"/>
    <cellStyle name="Título 3 5 2" xfId="1612" xr:uid="{00000000-0005-0000-0000-0000C9060000}"/>
    <cellStyle name="Título 3 5 3" xfId="1613" xr:uid="{00000000-0005-0000-0000-0000CA060000}"/>
    <cellStyle name="Título 3 5 4" xfId="1614" xr:uid="{00000000-0005-0000-0000-0000CB060000}"/>
    <cellStyle name="Título 3 5 5" xfId="1615" xr:uid="{00000000-0005-0000-0000-0000CC060000}"/>
    <cellStyle name="Título 3 6" xfId="1616" xr:uid="{00000000-0005-0000-0000-0000CD060000}"/>
    <cellStyle name="Título 3 6 2" xfId="1617" xr:uid="{00000000-0005-0000-0000-0000CE060000}"/>
    <cellStyle name="Título 3 7" xfId="1618" xr:uid="{00000000-0005-0000-0000-0000CF060000}"/>
    <cellStyle name="Título 3 8" xfId="1619" xr:uid="{00000000-0005-0000-0000-0000D0060000}"/>
    <cellStyle name="Título 3 9" xfId="1620" xr:uid="{00000000-0005-0000-0000-0000D1060000}"/>
    <cellStyle name="Total" xfId="1621" builtinId="25" customBuiltin="1"/>
    <cellStyle name="Total 2" xfId="1622" xr:uid="{00000000-0005-0000-0000-0000D3060000}"/>
    <cellStyle name="Total 2 2" xfId="1623" xr:uid="{00000000-0005-0000-0000-0000D4060000}"/>
    <cellStyle name="Total 2 3" xfId="1624" xr:uid="{00000000-0005-0000-0000-0000D5060000}"/>
    <cellStyle name="Total 2 4" xfId="1625" xr:uid="{00000000-0005-0000-0000-0000D6060000}"/>
    <cellStyle name="Total 2 5" xfId="1626" xr:uid="{00000000-0005-0000-0000-0000D7060000}"/>
    <cellStyle name="Total 2 6" xfId="1627" xr:uid="{00000000-0005-0000-0000-0000D8060000}"/>
    <cellStyle name="Total 3" xfId="1628" xr:uid="{00000000-0005-0000-0000-0000D9060000}"/>
    <cellStyle name="Total 3 2" xfId="1629" xr:uid="{00000000-0005-0000-0000-0000DA060000}"/>
    <cellStyle name="Total 3 3" xfId="1630" xr:uid="{00000000-0005-0000-0000-0000DB060000}"/>
    <cellStyle name="Total 3 4" xfId="1631" xr:uid="{00000000-0005-0000-0000-0000DC060000}"/>
    <cellStyle name="Total 3 5" xfId="1632" xr:uid="{00000000-0005-0000-0000-0000DD060000}"/>
    <cellStyle name="Total 4" xfId="1633" xr:uid="{00000000-0005-0000-0000-0000DE060000}"/>
    <cellStyle name="Total 4 2" xfId="1634" xr:uid="{00000000-0005-0000-0000-0000DF060000}"/>
    <cellStyle name="Total 4 3" xfId="1635" xr:uid="{00000000-0005-0000-0000-0000E0060000}"/>
    <cellStyle name="Total 4 4" xfId="1636" xr:uid="{00000000-0005-0000-0000-0000E1060000}"/>
    <cellStyle name="Total 4 5" xfId="1637" xr:uid="{00000000-0005-0000-0000-0000E2060000}"/>
    <cellStyle name="Total 5" xfId="1638" xr:uid="{00000000-0005-0000-0000-0000E3060000}"/>
    <cellStyle name="Total 5 2" xfId="1639" xr:uid="{00000000-0005-0000-0000-0000E4060000}"/>
    <cellStyle name="Total 5 3" xfId="1640" xr:uid="{00000000-0005-0000-0000-0000E5060000}"/>
    <cellStyle name="Total 5 4" xfId="1641" xr:uid="{00000000-0005-0000-0000-0000E6060000}"/>
    <cellStyle name="Total 5 5" xfId="1642" xr:uid="{00000000-0005-0000-0000-0000E7060000}"/>
    <cellStyle name="Total 6" xfId="1643" xr:uid="{00000000-0005-0000-0000-0000E8060000}"/>
    <cellStyle name="Total 7" xfId="1644" xr:uid="{00000000-0005-0000-0000-0000E9060000}"/>
    <cellStyle name="Total 8" xfId="1645" xr:uid="{00000000-0005-0000-0000-0000EA060000}"/>
    <cellStyle name="Total 9" xfId="1646" xr:uid="{00000000-0005-0000-0000-0000EB060000}"/>
    <cellStyle name="Tytu?" xfId="1647" xr:uid="{00000000-0005-0000-0000-0000EC060000}"/>
    <cellStyle name="Tytuł" xfId="1648" xr:uid="{00000000-0005-0000-0000-0000ED060000}"/>
    <cellStyle name="Uwaga" xfId="1649" xr:uid="{00000000-0005-0000-0000-0000EE060000}"/>
    <cellStyle name="Warning Text" xfId="1650" builtinId="11" customBuiltin="1"/>
    <cellStyle name="Warning Text 2" xfId="1651" xr:uid="{00000000-0005-0000-0000-0000EF060000}"/>
    <cellStyle name="Warning Text 3" xfId="1652" xr:uid="{00000000-0005-0000-0000-0000F0060000}"/>
    <cellStyle name="Warning Text 4" xfId="1653" xr:uid="{00000000-0005-0000-0000-0000F1060000}"/>
    <cellStyle name="Warning Text 5" xfId="1654" xr:uid="{00000000-0005-0000-0000-0000F2060000}"/>
    <cellStyle name="Z?e" xfId="1655" xr:uid="{00000000-0005-0000-0000-0000F3060000}"/>
    <cellStyle name="Złe" xfId="1656" xr:uid="{00000000-0005-0000-0000-0000F4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Lbls>
            <c:dLbl>
              <c:idx val="0"/>
              <c:layout>
                <c:manualLayout>
                  <c:x val="0.20393224183692366"/>
                  <c:y val="5.1813503627007255E-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4C32FD24-9154-411D-B062-6ADF78713A1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17,1%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1533873845970706"/>
                  <c:y val="0.111737450141566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292710-DA67-49A4-AB34-9A9D4FB2EDE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baseline="0"/>
                      <a:t>; </a:t>
                    </a:r>
                    <a:fld id="{B536D013-408C-4326-B487-4DBADFACD166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baseline="0"/>
                      <a:t>; 62,1%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5280348997983459"/>
                  <c:y val="0.25429474858949719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Loans; </a:t>
                    </a:r>
                    <a:fld id="{981DFA93-2237-478C-BC1F-DE4F988E7E2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20,6%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EB9A7C-B10E-4D37-9D05-808EFEDF3171}" type="CATEGORYNAME">
                      <a:rPr lang="en-US" sz="90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sz="900" baseline="0"/>
                      <a:t>; </a:t>
                    </a:r>
                  </a:p>
                  <a:p>
                    <a:pPr>
                      <a:defRPr>
                        <a:solidFill>
                          <a:schemeClr val="tx2"/>
                        </a:solidFill>
                      </a:defRPr>
                    </a:pPr>
                    <a:r>
                      <a:rPr lang="en-US" sz="900" baseline="0"/>
                      <a:t>0,2%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0.33703273044625942"/>
                  <c:y val="-2.3337260007853348E-2"/>
                </c:manualLayout>
              </c:layout>
              <c:tx>
                <c:rich>
                  <a:bodyPr/>
                  <a:lstStyle/>
                  <a:p>
                    <a:fld id="{3634453F-5919-40DB-8EC4-6331166C2D9C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DDAF45BB-09BA-4140-A9FC-6D87AB0353D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</a:t>
                    </a:r>
                  </a:p>
                  <a:p>
                    <a:r>
                      <a:rPr lang="en-US" baseline="0"/>
                      <a:t>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8089379796215"/>
                      <c:h val="0.30406844813689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Préstamos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Financiera'!$D$13:$D$16</c:f>
              <c:numCache>
                <c:formatCode>#,##0</c:formatCode>
                <c:ptCount val="4"/>
                <c:pt idx="0">
                  <c:v>198729817</c:v>
                </c:pt>
                <c:pt idx="1">
                  <c:v>752916439</c:v>
                </c:pt>
                <c:pt idx="2">
                  <c:v>235631169</c:v>
                </c:pt>
                <c:pt idx="3">
                  <c:v>2315993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Préstamos</c:v>
                </c:pt>
                <c:pt idx="3">
                  <c:v>Leasing liabilities</c:v>
                </c:pt>
              </c:strCache>
            </c:strRef>
          </c:cat>
          <c:val>
            <c:numRef>
              <c:f>[5]Hoja1!$H$2:$H$4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</a:t>
            </a:r>
            <a:r>
              <a:rPr lang="es-CL" sz="1200" baseline="0">
                <a:solidFill>
                  <a:schemeClr val="tx2"/>
                </a:solidFill>
              </a:rPr>
              <a:t> by rate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Fixed; </a:t>
                    </a:r>
                    <a:fld id="{C86347BC-81B7-4EDB-96CC-6873EEF3505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88,4%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tx>
                <c:rich>
                  <a:bodyPr/>
                  <a:lstStyle/>
                  <a:p>
                    <a:fld id="{7ACB46B9-F078-4CA0-B736-8655CD16BE03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A3F9EB63-8C4D-4C1A-BF57-2D436EC26120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11,6%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1059105816</c:v>
                </c:pt>
                <c:pt idx="1">
                  <c:v>134928714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17</xdr:row>
      <xdr:rowOff>180975</xdr:rowOff>
    </xdr:from>
    <xdr:to>
      <xdr:col>5</xdr:col>
      <xdr:colOff>152400</xdr:colOff>
      <xdr:row>30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485776</xdr:colOff>
      <xdr:row>18</xdr:row>
      <xdr:rowOff>9526</xdr:rowOff>
    </xdr:from>
    <xdr:to>
      <xdr:col>10</xdr:col>
      <xdr:colOff>102492</xdr:colOff>
      <xdr:row>30</xdr:row>
      <xdr:rowOff>161926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0</xdr:rowOff>
    </xdr:from>
    <xdr:to>
      <xdr:col>4</xdr:col>
      <xdr:colOff>237811</xdr:colOff>
      <xdr:row>25</xdr:row>
      <xdr:rowOff>9079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F0C76F-7AE8-44C3-9141-D7854E06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85775"/>
          <a:ext cx="2514286" cy="35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%20Trimestre\01%20Fecu%20AA%202T19%20v-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uasandinascl-my.sharepoint.com/personal/aespinosa_aguasandinas_cl/Documents/FECU/FECUS%20A&#209;O%202022/1.%20Mar-2022/01%20Hoja%20de%20trabajo%20Iam/01%20Fecu_IAM_Mar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ISTEMA-CONSOLIDACION\FECU%20%20IFRS\FECUS%20A&#209;O%202022\2.%20Jun-2022\01%20hoja%20de%20trabajo%20IAM\01%20Fecu_IAM_Junio_22_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alacio/Desktop/XBRL/Junio%202022/01%20Fecu_IAM_Junio_v0_xbr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ISTEMA-CONSOLIDACION\FECU%20%20IFRS\FECUS%20A&#209;O%202021\2.%20Jun-21\03%20An&#225;lisis%20Razonado\IAM\Tabla%20An&#225;lisis%20Razonado%20IAM%202T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alacio/AppData/Local/Microsoft/Windows/INetCache/Content.Outlook/UQ0FU713/01%20Fecu_IAM_Junio_22_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resultado 06"/>
      <sheetName val="Balance_Dic18"/>
      <sheetName val="Resultado_Jun18"/>
      <sheetName val="Balance_Jun19"/>
      <sheetName val="Resultado_Jun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>
            <v>43646</v>
          </cell>
        </row>
      </sheetData>
      <sheetData sheetId="7">
        <row r="11">
          <cell r="C11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C16">
            <v>243112</v>
          </cell>
        </row>
      </sheetData>
      <sheetData sheetId="29" refreshError="1"/>
      <sheetData sheetId="30">
        <row r="22">
          <cell r="E22">
            <v>20432837</v>
          </cell>
        </row>
      </sheetData>
      <sheetData sheetId="31" refreshError="1"/>
      <sheetData sheetId="32" refreshError="1"/>
      <sheetData sheetId="33">
        <row r="27">
          <cell r="L27">
            <v>20432837</v>
          </cell>
        </row>
      </sheetData>
      <sheetData sheetId="34" refreshError="1"/>
      <sheetData sheetId="35">
        <row r="27">
          <cell r="R27">
            <v>16163530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>
            <v>2142273234</v>
          </cell>
        </row>
      </sheetData>
      <sheetData sheetId="9"/>
      <sheetData sheetId="10">
        <row r="9">
          <cell r="D9">
            <v>0</v>
          </cell>
          <cell r="E9">
            <v>0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ío Fecu"/>
      <sheetName val="Notas resultado"/>
      <sheetName val="Resultado_Mar22"/>
      <sheetName val="Resultado_Mar21"/>
      <sheetName val="Balance_Dic21"/>
      <sheetName val="Balance_Mar22"/>
      <sheetName val="Activo"/>
      <sheetName val="Pasivo"/>
      <sheetName val="Resultado"/>
      <sheetName val="Flujo"/>
      <sheetName val="Patrimonio"/>
      <sheetName val="Nuevos pronunciamientos"/>
      <sheetName val="N2.2 Filiales"/>
      <sheetName val="N2.2 Moneda Extranjera"/>
      <sheetName val="Perfil Vencimiento"/>
      <sheetName val="Tasa de interes"/>
      <sheetName val="Análisis de Sesibilización"/>
      <sheetName val="Efectivo"/>
      <sheetName val="Equivalente Efe."/>
      <sheetName val="Deudores"/>
      <sheetName val="Estratificación Deudores"/>
      <sheetName val="CxC Relacionadas"/>
      <sheetName val="CxP Relacionadas"/>
      <sheetName val="Transacciones"/>
      <sheetName val="Directorio y Comité"/>
      <sheetName val="Inventarios"/>
      <sheetName val=" Imptos corrientes"/>
      <sheetName val="Mantenido Venta"/>
      <sheetName val="Intangibles"/>
      <sheetName val="Plusvalía"/>
      <sheetName val="PP&amp;E"/>
      <sheetName val=" NIIF 16"/>
      <sheetName val="Pasivos NIIF 16"/>
      <sheetName val="Impto Renta y Diferidos"/>
      <sheetName val="Clases Inst. Finan."/>
      <sheetName val="AFR"/>
      <sheetName val="Préstamos CP"/>
      <sheetName val="Préstamos LP"/>
      <sheetName val="Bonos CP"/>
      <sheetName val="Bonos LP"/>
      <sheetName val="Conciliación SI y SF"/>
      <sheetName val="Valor Justo"/>
      <sheetName val="Acreed. Comerciales"/>
      <sheetName val="Proveedores x Venc."/>
      <sheetName val="Otras Provisiones"/>
      <sheetName val="Beneficios Empleados"/>
      <sheetName val="Pasivo No Financiero"/>
      <sheetName val="Minoritarios"/>
      <sheetName val="Ingresos_Ordinarios"/>
      <sheetName val="Gastos x Naturaleza"/>
      <sheetName val="Otros Ingresos_Gastos"/>
      <sheetName val="Diferencia de cambio"/>
      <sheetName val="Rdo. Unid. Reajuste"/>
      <sheetName val="Segmentos"/>
      <sheetName val="Ganancia x acción"/>
      <sheetName val="EEFF filiales"/>
      <sheetName val="Garantías"/>
      <sheetName val="Restricciones"/>
      <sheetName val="Costos finan. Capital."/>
      <sheetName val="Medio ambiente"/>
      <sheetName val="CxC CxP Relacionadas_xb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D2">
            <v>44651</v>
          </cell>
          <cell r="E2">
            <v>44561</v>
          </cell>
        </row>
      </sheetData>
      <sheetData sheetId="7" refreshError="1"/>
      <sheetData sheetId="8" refreshError="1">
        <row r="2">
          <cell r="D2">
            <v>44651</v>
          </cell>
          <cell r="F2" t="str">
            <v>01-07-2021
30-09-2021</v>
          </cell>
          <cell r="G2" t="str">
            <v>01-07-2020
30-09-2020</v>
          </cell>
        </row>
        <row r="20">
          <cell r="D20">
            <v>0</v>
          </cell>
          <cell r="E20">
            <v>0</v>
          </cell>
        </row>
      </sheetData>
      <sheetData sheetId="9" refreshError="1">
        <row r="5">
          <cell r="D5">
            <v>163360836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35">
          <cell r="D35">
            <v>0</v>
          </cell>
          <cell r="E35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4">
          <cell r="D64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1">
          <cell r="C11">
            <v>134928714</v>
          </cell>
        </row>
        <row r="12">
          <cell r="C12">
            <v>105143567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3">
          <cell r="E23">
            <v>11057568</v>
          </cell>
        </row>
        <row r="24">
          <cell r="E24">
            <v>28074821</v>
          </cell>
        </row>
        <row r="25">
          <cell r="E25">
            <v>33552034</v>
          </cell>
        </row>
        <row r="28">
          <cell r="E28">
            <v>1046336</v>
          </cell>
        </row>
        <row r="40">
          <cell r="E40">
            <v>229014713</v>
          </cell>
        </row>
        <row r="41">
          <cell r="E41">
            <v>696133768</v>
          </cell>
        </row>
        <row r="42">
          <cell r="E42">
            <v>165534902</v>
          </cell>
        </row>
        <row r="44">
          <cell r="E44">
            <v>1560996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ío Fecu"/>
      <sheetName val="Notas resultado"/>
      <sheetName val="Resultado_Jun22"/>
      <sheetName val="Resultado_jun21"/>
      <sheetName val="Balance_Dic21"/>
      <sheetName val="Balance_Jun22"/>
      <sheetName val="Activo"/>
      <sheetName val="Pasivo"/>
      <sheetName val="Resultado"/>
      <sheetName val="Flujo"/>
      <sheetName val="Patrimonio"/>
      <sheetName val="Nuevos pronunciamientos"/>
      <sheetName val="N2.2 Filiales"/>
      <sheetName val="N2.2 Moneda Extranjera"/>
      <sheetName val="Perfil Vencimiento"/>
      <sheetName val="Tasa de interes"/>
      <sheetName val="Análisis de Sesibilización"/>
      <sheetName val="Efectivo"/>
      <sheetName val="Equivalente Efe."/>
      <sheetName val="Deudores"/>
      <sheetName val="Estratificación Deudores"/>
      <sheetName val="CxC Relacionadas"/>
      <sheetName val="CxP Relacionadas"/>
      <sheetName val="Transacciones"/>
      <sheetName val="Directorio y Comité"/>
      <sheetName val="Inventarios"/>
      <sheetName val=" Imptos corrientes"/>
      <sheetName val="Mantenido Venta"/>
      <sheetName val="Intangibles"/>
      <sheetName val="Plusvalía"/>
      <sheetName val="PP&amp;E"/>
      <sheetName val=" NIIF 16"/>
      <sheetName val="Pasivos NIIF 16"/>
      <sheetName val="Impto Renta y Diferidos"/>
      <sheetName val="Clases Inst. Finan."/>
      <sheetName val="AFR"/>
      <sheetName val="Préstamos CP"/>
      <sheetName val="Préstamos LP"/>
      <sheetName val="Bonos CP"/>
      <sheetName val="Bonos LP"/>
      <sheetName val="Conciliación SI y SF"/>
      <sheetName val="Valor Justo"/>
      <sheetName val="Acreed. Comerciales"/>
      <sheetName val="Proveedores x Venc."/>
      <sheetName val="Otras Provisiones"/>
      <sheetName val="Beneficios Empleados"/>
      <sheetName val="Pasivo No Financiero"/>
      <sheetName val="Minoritarios"/>
      <sheetName val="Ingresos_Ordinarios"/>
      <sheetName val="Gastos x Naturaleza"/>
      <sheetName val="Otros Ingresos_Gastos"/>
      <sheetName val="Diferencia de cambio"/>
      <sheetName val="Rdo. Unid. Reajuste"/>
      <sheetName val="Segmentos"/>
      <sheetName val="Ganancia x acción"/>
      <sheetName val="EEFF filiales"/>
      <sheetName val="Garantías"/>
      <sheetName val="Restricciones"/>
      <sheetName val="Costos finan. Capital."/>
      <sheetName val="Medio ambiente"/>
      <sheetName val="CxC CxP Relacionadas_xbr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F4">
            <v>130883929</v>
          </cell>
          <cell r="G4">
            <v>120404559</v>
          </cell>
        </row>
        <row r="5">
          <cell r="F5">
            <v>-19316506</v>
          </cell>
          <cell r="G5">
            <v>-12446617</v>
          </cell>
        </row>
        <row r="6">
          <cell r="F6">
            <v>-16998705</v>
          </cell>
          <cell r="G6">
            <v>-14018626</v>
          </cell>
        </row>
        <row r="7">
          <cell r="F7">
            <v>-18978198</v>
          </cell>
          <cell r="G7">
            <v>-17109521</v>
          </cell>
        </row>
        <row r="8">
          <cell r="F8">
            <v>0</v>
          </cell>
          <cell r="G8">
            <v>0</v>
          </cell>
        </row>
        <row r="9">
          <cell r="F9">
            <v>-30285957</v>
          </cell>
          <cell r="G9">
            <v>-36584722</v>
          </cell>
        </row>
        <row r="10">
          <cell r="F10">
            <v>-954770</v>
          </cell>
          <cell r="G10">
            <v>-1003791</v>
          </cell>
        </row>
        <row r="12">
          <cell r="F12">
            <v>3952238</v>
          </cell>
          <cell r="G12">
            <v>897730</v>
          </cell>
        </row>
        <row r="13">
          <cell r="F13">
            <v>-7790230</v>
          </cell>
          <cell r="G13">
            <v>-6749930</v>
          </cell>
        </row>
        <row r="14">
          <cell r="F14">
            <v>-1487096</v>
          </cell>
          <cell r="G14">
            <v>145242</v>
          </cell>
        </row>
        <row r="15">
          <cell r="F15">
            <v>-38094966</v>
          </cell>
          <cell r="G15">
            <v>-9127658</v>
          </cell>
        </row>
        <row r="18">
          <cell r="F18">
            <v>8759753</v>
          </cell>
          <cell r="G18">
            <v>-4656780</v>
          </cell>
        </row>
        <row r="25">
          <cell r="F25">
            <v>4965438</v>
          </cell>
          <cell r="G25">
            <v>9955141</v>
          </cell>
        </row>
        <row r="28">
          <cell r="F28">
            <v>4.7240539999999989</v>
          </cell>
          <cell r="G28">
            <v>9.7947449999999989</v>
          </cell>
        </row>
      </sheetData>
      <sheetData sheetId="9"/>
      <sheetData sheetId="10"/>
      <sheetData sheetId="11"/>
      <sheetData sheetId="12"/>
      <sheetData sheetId="13"/>
      <sheetData sheetId="14">
        <row r="5">
          <cell r="C5">
            <v>7014896</v>
          </cell>
        </row>
        <row r="8">
          <cell r="C8">
            <v>260284</v>
          </cell>
          <cell r="E8">
            <v>629835</v>
          </cell>
          <cell r="G8">
            <v>723285</v>
          </cell>
          <cell r="I8">
            <v>447484</v>
          </cell>
          <cell r="K8">
            <v>255105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ío Fecu"/>
      <sheetName val="Notas resultado"/>
      <sheetName val="Resultado_Jun22"/>
      <sheetName val="Resultado_jun21"/>
      <sheetName val="Balance_Dic21"/>
      <sheetName val="Balance_Jun22"/>
      <sheetName val="Activo"/>
      <sheetName val="Pasivo"/>
      <sheetName val="Resultado"/>
      <sheetName val="Flujo"/>
      <sheetName val="Patrimonio"/>
      <sheetName val="Nuevos pronunciamientos"/>
      <sheetName val="N2.2 Filiales"/>
      <sheetName val="N2.2 Moneda Extranjera"/>
      <sheetName val="Perfil Vencimiento"/>
      <sheetName val="Tasa de interes"/>
      <sheetName val="Análisis de Sesibilización"/>
      <sheetName val="Efectivo"/>
      <sheetName val="Equivalente Efe."/>
      <sheetName val="Deudores"/>
      <sheetName val="Estratificación Deudores"/>
      <sheetName val="CxC Relacionadas"/>
      <sheetName val="CxP Relacionadas"/>
      <sheetName val="Transacciones"/>
      <sheetName val="Directorio y Comité"/>
      <sheetName val="Inventarios"/>
      <sheetName val=" Imptos corrientes"/>
      <sheetName val="Mantenido Venta"/>
      <sheetName val="Intangibles"/>
      <sheetName val="Plusvalía"/>
      <sheetName val="PP&amp;E"/>
      <sheetName val=" NIIF 16"/>
      <sheetName val="Pasivos NIIF 16"/>
      <sheetName val="Impto Renta y Diferidos"/>
      <sheetName val="Clases Inst. Finan."/>
      <sheetName val="AFR"/>
      <sheetName val="Préstamos CP"/>
      <sheetName val="Préstamos LP"/>
      <sheetName val="Bonos CP"/>
      <sheetName val="Bonos LP"/>
      <sheetName val="Conciliación SI y SF"/>
      <sheetName val="Valor Justo"/>
      <sheetName val="Acreed. Comerciales"/>
      <sheetName val="Proveedores x Venc."/>
      <sheetName val="Otras Provisiones"/>
      <sheetName val="Beneficios Empleados"/>
      <sheetName val="Pasivo No Financiero"/>
      <sheetName val="Minoritarios"/>
      <sheetName val="Ingresos_Ordinarios"/>
      <sheetName val="Gastos x Naturaleza"/>
      <sheetName val="Otros Ingresos_Gastos"/>
      <sheetName val="Diferencia de cambio"/>
      <sheetName val="Rdo. Unid. Reajuste"/>
      <sheetName val="Segmentos"/>
      <sheetName val="Ganancia x acción"/>
      <sheetName val="EEFF filiales"/>
      <sheetName val="Garantías"/>
      <sheetName val="Restricciones"/>
      <sheetName val="Costos finan. Capital."/>
      <sheetName val="Medio ambiente"/>
      <sheetName val="CxC CxP Relacionadas_xb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E5">
            <v>301818554</v>
          </cell>
        </row>
        <row r="9">
          <cell r="E9">
            <v>2435435</v>
          </cell>
        </row>
        <row r="11">
          <cell r="E11">
            <v>-84397714</v>
          </cell>
        </row>
        <row r="13">
          <cell r="E13">
            <v>-31266751</v>
          </cell>
        </row>
        <row r="14">
          <cell r="E14">
            <v>-62136</v>
          </cell>
        </row>
        <row r="15">
          <cell r="E15">
            <v>-26413153</v>
          </cell>
        </row>
        <row r="20">
          <cell r="E20">
            <v>-13308955</v>
          </cell>
        </row>
        <row r="21">
          <cell r="E21">
            <v>284455</v>
          </cell>
        </row>
        <row r="22">
          <cell r="E22">
            <v>-24741625</v>
          </cell>
        </row>
        <row r="23">
          <cell r="E23">
            <v>-11582592</v>
          </cell>
        </row>
        <row r="33">
          <cell r="E33">
            <v>4433552</v>
          </cell>
        </row>
        <row r="34">
          <cell r="E34">
            <v>-81336395</v>
          </cell>
        </row>
        <row r="36">
          <cell r="E36">
            <v>-1753679</v>
          </cell>
        </row>
        <row r="48">
          <cell r="E48">
            <v>0</v>
          </cell>
        </row>
        <row r="54">
          <cell r="E54">
            <v>10234433</v>
          </cell>
        </row>
        <row r="58">
          <cell r="E58">
            <v>-16512899</v>
          </cell>
        </row>
        <row r="62">
          <cell r="E62">
            <v>-67886012</v>
          </cell>
        </row>
        <row r="63">
          <cell r="E63">
            <v>0</v>
          </cell>
        </row>
        <row r="65">
          <cell r="E65">
            <v>0</v>
          </cell>
        </row>
        <row r="71">
          <cell r="E71">
            <v>177964853</v>
          </cell>
        </row>
        <row r="72">
          <cell r="E72">
            <v>137909371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7">
          <cell r="I27">
            <v>890119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D28">
            <v>2415566316</v>
          </cell>
        </row>
        <row r="63">
          <cell r="D63">
            <v>690940230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ío Fecu"/>
      <sheetName val="Notas resultado"/>
      <sheetName val="Resultado_Jun22"/>
      <sheetName val="Resultado_jun21"/>
      <sheetName val="Balance_Dic21"/>
      <sheetName val="Balance_Jun22"/>
      <sheetName val="Activo"/>
      <sheetName val="Pasivo"/>
      <sheetName val="Resultado"/>
      <sheetName val="Flujo"/>
      <sheetName val="Patrimonio"/>
      <sheetName val="Nuevos pronunciamientos"/>
      <sheetName val="N2.2 Filiales"/>
      <sheetName val="N2.2 Moneda Extranjera"/>
      <sheetName val="Perfil Vencimiento"/>
      <sheetName val="Tasa de interes"/>
      <sheetName val="Análisis de Sesibilización"/>
      <sheetName val="Efectivo"/>
      <sheetName val="Equivalente Efe."/>
      <sheetName val="Deudores"/>
      <sheetName val="Estratificación Deudores"/>
      <sheetName val="CxC Relacionadas"/>
      <sheetName val="CxP Relacionadas"/>
      <sheetName val="Transacciones"/>
      <sheetName val="Directorio y Comité"/>
      <sheetName val="Inventarios"/>
      <sheetName val=" Imptos corrientes"/>
      <sheetName val="Mantenido Venta"/>
      <sheetName val="Intangibles"/>
      <sheetName val="Plusvalía"/>
      <sheetName val="PP&amp;E"/>
      <sheetName val=" NIIF 16"/>
      <sheetName val="Pasivos NIIF 16"/>
      <sheetName val="Impto Renta y Diferidos"/>
      <sheetName val="Clases Inst. Finan."/>
      <sheetName val="AFR"/>
      <sheetName val="Préstamos CP"/>
      <sheetName val="Préstamos LP"/>
      <sheetName val="Bonos CP"/>
      <sheetName val="Bonos LP"/>
      <sheetName val="Conciliación SI y SF"/>
      <sheetName val="Valor Justo"/>
      <sheetName val="Acreed. Comerciales"/>
      <sheetName val="Proveedores x Venc."/>
      <sheetName val="Otras Provisiones"/>
      <sheetName val="Beneficios Empleados"/>
      <sheetName val="Pasivo No Financiero"/>
      <sheetName val="Minoritarios"/>
      <sheetName val="Ingresos_Ordinarios"/>
      <sheetName val="Gastos x Naturaleza"/>
      <sheetName val="Otros Ingresos_Gastos"/>
      <sheetName val="Diferencia de cambio"/>
      <sheetName val="Rdo. Unid. Reajuste"/>
      <sheetName val="Segmentos"/>
      <sheetName val="Ganancia x acción"/>
      <sheetName val="EEFF filiales"/>
      <sheetName val="Garantías"/>
      <sheetName val="Restricciones"/>
      <sheetName val="Costos finan. Capital."/>
      <sheetName val="Medio ambiente"/>
      <sheetName val="CxC CxP Relacionadas_xb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D5">
            <v>148442598</v>
          </cell>
          <cell r="E5">
            <v>164558880</v>
          </cell>
        </row>
        <row r="6">
          <cell r="D6">
            <v>0</v>
          </cell>
          <cell r="E6">
            <v>0</v>
          </cell>
        </row>
        <row r="7">
          <cell r="D7">
            <v>3569972</v>
          </cell>
          <cell r="E7">
            <v>4997004</v>
          </cell>
        </row>
        <row r="8">
          <cell r="D8">
            <v>101081164</v>
          </cell>
          <cell r="E8">
            <v>101104669</v>
          </cell>
        </row>
        <row r="9">
          <cell r="D9">
            <v>27645</v>
          </cell>
          <cell r="E9">
            <v>23088</v>
          </cell>
        </row>
        <row r="10">
          <cell r="D10">
            <v>11281243</v>
          </cell>
          <cell r="E10">
            <v>5185858</v>
          </cell>
        </row>
        <row r="11">
          <cell r="D11">
            <v>1468496</v>
          </cell>
          <cell r="E11">
            <v>9226864</v>
          </cell>
        </row>
        <row r="13">
          <cell r="D13">
            <v>7781480</v>
          </cell>
          <cell r="E13">
            <v>3414</v>
          </cell>
        </row>
        <row r="16">
          <cell r="D16">
            <v>7895863</v>
          </cell>
          <cell r="E16">
            <v>7895863</v>
          </cell>
        </row>
        <row r="17">
          <cell r="D17">
            <v>1533251</v>
          </cell>
          <cell r="E17">
            <v>1855537</v>
          </cell>
        </row>
        <row r="18">
          <cell r="D18">
            <v>3352560</v>
          </cell>
          <cell r="E18">
            <v>3438247</v>
          </cell>
        </row>
        <row r="19">
          <cell r="D19">
            <v>0</v>
          </cell>
          <cell r="E19">
            <v>0</v>
          </cell>
        </row>
        <row r="20">
          <cell r="D20">
            <v>231753899</v>
          </cell>
          <cell r="E20">
            <v>221481159</v>
          </cell>
        </row>
        <row r="21">
          <cell r="D21">
            <v>305171468</v>
          </cell>
          <cell r="E21">
            <v>305171468</v>
          </cell>
        </row>
        <row r="22">
          <cell r="D22">
            <v>1660688901</v>
          </cell>
          <cell r="E22">
            <v>1660159453</v>
          </cell>
        </row>
        <row r="23">
          <cell r="D23">
            <v>2267629</v>
          </cell>
          <cell r="E23">
            <v>2756851</v>
          </cell>
        </row>
        <row r="24">
          <cell r="D24">
            <v>37351467</v>
          </cell>
          <cell r="E24">
            <v>13963891</v>
          </cell>
        </row>
      </sheetData>
      <sheetData sheetId="7" refreshError="1">
        <row r="2">
          <cell r="D2">
            <v>44742</v>
          </cell>
        </row>
        <row r="5">
          <cell r="D5">
            <v>67316176</v>
          </cell>
          <cell r="E5">
            <v>69023789</v>
          </cell>
        </row>
        <row r="6">
          <cell r="D6">
            <v>890119</v>
          </cell>
          <cell r="E6">
            <v>1183259</v>
          </cell>
        </row>
        <row r="7">
          <cell r="D7">
            <v>123330055</v>
          </cell>
          <cell r="E7">
            <v>127124811</v>
          </cell>
        </row>
        <row r="8">
          <cell r="D8">
            <v>3510441</v>
          </cell>
          <cell r="E8">
            <v>13824302</v>
          </cell>
        </row>
        <row r="9">
          <cell r="D9">
            <v>17757321</v>
          </cell>
          <cell r="E9">
            <v>16092663</v>
          </cell>
        </row>
        <row r="10">
          <cell r="D10">
            <v>4674360</v>
          </cell>
          <cell r="E10">
            <v>380656</v>
          </cell>
        </row>
        <row r="11">
          <cell r="D11">
            <v>3423530</v>
          </cell>
          <cell r="E11">
            <v>6190161</v>
          </cell>
        </row>
        <row r="12">
          <cell r="D12">
            <v>15972032</v>
          </cell>
          <cell r="E12">
            <v>15317187</v>
          </cell>
        </row>
        <row r="14">
          <cell r="D14">
            <v>0</v>
          </cell>
          <cell r="E14">
            <v>0</v>
          </cell>
        </row>
        <row r="17">
          <cell r="D17">
            <v>1119961249</v>
          </cell>
          <cell r="E17">
            <v>1084075622</v>
          </cell>
        </row>
        <row r="18">
          <cell r="D18">
            <v>1425874</v>
          </cell>
          <cell r="E18">
            <v>1629797</v>
          </cell>
        </row>
        <row r="19">
          <cell r="D19">
            <v>1064347</v>
          </cell>
          <cell r="E19">
            <v>1055267</v>
          </cell>
        </row>
        <row r="20">
          <cell r="D20">
            <v>0</v>
          </cell>
          <cell r="E20">
            <v>0</v>
          </cell>
        </row>
        <row r="21">
          <cell r="D21">
            <v>1629836</v>
          </cell>
          <cell r="E21">
            <v>1520318</v>
          </cell>
        </row>
        <row r="22">
          <cell r="D22">
            <v>19671430</v>
          </cell>
          <cell r="E22">
            <v>23706459</v>
          </cell>
        </row>
        <row r="23">
          <cell r="D23">
            <v>18467012</v>
          </cell>
          <cell r="E23">
            <v>17666420</v>
          </cell>
        </row>
        <row r="24">
          <cell r="D24">
            <v>8885380</v>
          </cell>
          <cell r="E24">
            <v>8641295</v>
          </cell>
        </row>
        <row r="29">
          <cell r="D29">
            <v>468358402</v>
          </cell>
          <cell r="E29">
            <v>468358402</v>
          </cell>
        </row>
        <row r="30">
          <cell r="D30">
            <v>180058227</v>
          </cell>
          <cell r="E30">
            <v>179164900</v>
          </cell>
        </row>
        <row r="31">
          <cell r="D31">
            <v>0</v>
          </cell>
          <cell r="E31">
            <v>0</v>
          </cell>
        </row>
        <row r="32">
          <cell r="D32">
            <v>-37268415</v>
          </cell>
          <cell r="E32">
            <v>-37268415</v>
          </cell>
        </row>
        <row r="33">
          <cell r="D33">
            <v>83737044</v>
          </cell>
          <cell r="E33">
            <v>83709983</v>
          </cell>
        </row>
        <row r="35">
          <cell r="D35">
            <v>420803216</v>
          </cell>
          <cell r="E35">
            <v>420425370</v>
          </cell>
        </row>
      </sheetData>
      <sheetData sheetId="8" refreshError="1">
        <row r="2">
          <cell r="D2">
            <v>44742</v>
          </cell>
          <cell r="E2">
            <v>44377</v>
          </cell>
        </row>
        <row r="4">
          <cell r="D4">
            <v>281222606</v>
          </cell>
          <cell r="E4">
            <v>256946925</v>
          </cell>
        </row>
        <row r="5">
          <cell r="D5">
            <v>-34869164</v>
          </cell>
          <cell r="E5">
            <v>-23909001</v>
          </cell>
        </row>
        <row r="6">
          <cell r="D6">
            <v>-30498179</v>
          </cell>
          <cell r="E6">
            <v>-26877876</v>
          </cell>
        </row>
        <row r="7">
          <cell r="D7">
            <v>-36505882</v>
          </cell>
          <cell r="E7">
            <v>-33845344</v>
          </cell>
        </row>
        <row r="8">
          <cell r="D8">
            <v>0</v>
          </cell>
          <cell r="E8">
            <v>0</v>
          </cell>
        </row>
        <row r="9">
          <cell r="D9">
            <v>-67399147</v>
          </cell>
          <cell r="E9">
            <v>-67535877</v>
          </cell>
        </row>
        <row r="10">
          <cell r="D10">
            <v>-1188593</v>
          </cell>
          <cell r="E10">
            <v>-2036737</v>
          </cell>
        </row>
        <row r="12">
          <cell r="D12">
            <v>6966710</v>
          </cell>
          <cell r="E12">
            <v>1612537</v>
          </cell>
        </row>
        <row r="13">
          <cell r="D13">
            <v>-15977703</v>
          </cell>
          <cell r="E13">
            <v>-13555311</v>
          </cell>
        </row>
        <row r="14">
          <cell r="D14">
            <v>-1822083</v>
          </cell>
          <cell r="E14">
            <v>211841</v>
          </cell>
        </row>
        <row r="15">
          <cell r="D15">
            <v>-59234526</v>
          </cell>
          <cell r="E15">
            <v>-18580536</v>
          </cell>
        </row>
        <row r="18">
          <cell r="D18">
            <v>2496350</v>
          </cell>
          <cell r="E18">
            <v>-14699913</v>
          </cell>
        </row>
        <row r="25">
          <cell r="D25">
            <v>21806313</v>
          </cell>
          <cell r="E25">
            <v>29086893</v>
          </cell>
        </row>
        <row r="28">
          <cell r="D28">
            <v>21.384076</v>
          </cell>
          <cell r="E28">
            <v>28.643815</v>
          </cell>
        </row>
      </sheetData>
      <sheetData sheetId="9" refreshError="1">
        <row r="3">
          <cell r="D3">
            <v>44742</v>
          </cell>
          <cell r="E3">
            <v>44377</v>
          </cell>
        </row>
        <row r="5">
          <cell r="D5">
            <v>329481280</v>
          </cell>
        </row>
        <row r="8">
          <cell r="D8">
            <v>0</v>
          </cell>
        </row>
        <row r="9">
          <cell r="D9">
            <v>3280383</v>
          </cell>
        </row>
        <row r="11">
          <cell r="D11">
            <v>-117390128</v>
          </cell>
        </row>
        <row r="12">
          <cell r="D12">
            <v>0</v>
          </cell>
        </row>
        <row r="13">
          <cell r="D13">
            <v>-33089016</v>
          </cell>
        </row>
        <row r="14">
          <cell r="D14">
            <v>-736644</v>
          </cell>
        </row>
        <row r="15">
          <cell r="D15">
            <v>-26045738</v>
          </cell>
        </row>
        <row r="20">
          <cell r="D20">
            <v>-16577485</v>
          </cell>
        </row>
        <row r="21">
          <cell r="D21">
            <v>3986890</v>
          </cell>
        </row>
        <row r="22">
          <cell r="D22">
            <v>-12308928</v>
          </cell>
        </row>
        <row r="23">
          <cell r="D23">
            <v>-2362785</v>
          </cell>
        </row>
        <row r="33">
          <cell r="D33">
            <v>252623</v>
          </cell>
        </row>
        <row r="34">
          <cell r="D34">
            <v>-70956695</v>
          </cell>
        </row>
        <row r="36">
          <cell r="D36">
            <v>-7102465</v>
          </cell>
        </row>
        <row r="48">
          <cell r="D48">
            <v>71517</v>
          </cell>
        </row>
        <row r="54">
          <cell r="D54">
            <v>7433554</v>
          </cell>
        </row>
        <row r="58">
          <cell r="D58">
            <v>-32647594</v>
          </cell>
        </row>
        <row r="62">
          <cell r="D62">
            <v>-41402566</v>
          </cell>
        </row>
        <row r="63">
          <cell r="D63">
            <v>-2485</v>
          </cell>
        </row>
        <row r="65">
          <cell r="D65">
            <v>0</v>
          </cell>
        </row>
        <row r="71">
          <cell r="D71">
            <v>164558880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43738</v>
          </cell>
        </row>
        <row r="10">
          <cell r="C10">
            <v>7</v>
          </cell>
        </row>
        <row r="13">
          <cell r="C13">
            <v>9</v>
          </cell>
        </row>
        <row r="16">
          <cell r="C16">
            <v>9</v>
          </cell>
        </row>
        <row r="17">
          <cell r="C17">
            <v>9</v>
          </cell>
        </row>
        <row r="18">
          <cell r="C18">
            <v>6</v>
          </cell>
        </row>
        <row r="19">
          <cell r="C19">
            <v>10</v>
          </cell>
        </row>
        <row r="20">
          <cell r="C20">
            <v>11</v>
          </cell>
        </row>
        <row r="21">
          <cell r="C21">
            <v>12</v>
          </cell>
        </row>
        <row r="22">
          <cell r="C22">
            <v>14</v>
          </cell>
        </row>
      </sheetData>
      <sheetData sheetId="6">
        <row r="5">
          <cell r="C5">
            <v>15</v>
          </cell>
        </row>
        <row r="6">
          <cell r="C6">
            <v>16</v>
          </cell>
        </row>
        <row r="7">
          <cell r="C7">
            <v>7</v>
          </cell>
        </row>
        <row r="8">
          <cell r="C8">
            <v>17</v>
          </cell>
        </row>
        <row r="9">
          <cell r="C9">
            <v>17</v>
          </cell>
        </row>
        <row r="10">
          <cell r="C10">
            <v>18</v>
          </cell>
        </row>
        <row r="11">
          <cell r="C11">
            <v>19</v>
          </cell>
        </row>
        <row r="16">
          <cell r="C16">
            <v>16</v>
          </cell>
        </row>
        <row r="17">
          <cell r="C17">
            <v>17</v>
          </cell>
        </row>
        <row r="18">
          <cell r="C18">
            <v>18</v>
          </cell>
        </row>
        <row r="19">
          <cell r="C19">
            <v>15</v>
          </cell>
        </row>
        <row r="20">
          <cell r="C20">
            <v>19</v>
          </cell>
        </row>
        <row r="21">
          <cell r="C21">
            <v>20</v>
          </cell>
        </row>
        <row r="26">
          <cell r="C26">
            <v>20</v>
          </cell>
        </row>
        <row r="27">
          <cell r="C27">
            <v>20</v>
          </cell>
        </row>
        <row r="28">
          <cell r="C28">
            <v>20</v>
          </cell>
        </row>
        <row r="29">
          <cell r="C29">
            <v>20</v>
          </cell>
        </row>
        <row r="30">
          <cell r="C30">
            <v>20</v>
          </cell>
        </row>
        <row r="31">
          <cell r="C31">
            <v>20</v>
          </cell>
        </row>
      </sheetData>
      <sheetData sheetId="7">
        <row r="2">
          <cell r="D2">
            <v>43738</v>
          </cell>
        </row>
      </sheetData>
      <sheetData sheetId="8">
        <row r="4">
          <cell r="D4">
            <v>492197681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43738</v>
          </cell>
        </row>
      </sheetData>
      <sheetData sheetId="29"/>
      <sheetData sheetId="30">
        <row r="22">
          <cell r="E22">
            <v>11704698</v>
          </cell>
        </row>
      </sheetData>
      <sheetData sheetId="31"/>
      <sheetData sheetId="32"/>
      <sheetData sheetId="33">
        <row r="27">
          <cell r="K27">
            <v>11704698</v>
          </cell>
        </row>
      </sheetData>
      <sheetData sheetId="34"/>
      <sheetData sheetId="35">
        <row r="27">
          <cell r="R27">
            <v>18490095.289300997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H2" t="str">
            <v>Etiquetas de fila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5.bin"/><Relationship Id="rId1" Type="http://schemas.openxmlformats.org/officeDocument/2006/relationships/hyperlink" Target="https://www.bolsadesantiago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defaultColWidth="10.85546875" defaultRowHeight="12.6"/>
  <sheetData/>
  <pageMargins left="0.7" right="0.7" top="0.75" bottom="0.75" header="0.3" footer="0.3"/>
  <customProperties>
    <customPr name="_pios_id" r:id="rId1"/>
  </customPropertie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000066"/>
    <pageSetUpPr fitToPage="1"/>
  </sheetPr>
  <dimension ref="A1:V204"/>
  <sheetViews>
    <sheetView showGridLines="0" workbookViewId="0">
      <selection activeCell="H35" sqref="H35"/>
    </sheetView>
  </sheetViews>
  <sheetFormatPr defaultColWidth="11.42578125" defaultRowHeight="15" customHeight="1"/>
  <cols>
    <col min="1" max="1" width="3.85546875" style="117" customWidth="1"/>
    <col min="2" max="2" width="51.140625" style="117" customWidth="1"/>
    <col min="3" max="3" width="16.28515625" style="117" customWidth="1"/>
    <col min="4" max="4" width="18.85546875" style="117" bestFit="1" customWidth="1"/>
    <col min="5" max="5" width="18.5703125" style="117" bestFit="1" customWidth="1"/>
    <col min="6" max="6" width="16.7109375" style="117" customWidth="1"/>
    <col min="7" max="7" width="4.5703125" style="117" customWidth="1"/>
    <col min="8" max="8" width="31.5703125" style="117" customWidth="1"/>
    <col min="9" max="9" width="7.140625" style="117" customWidth="1"/>
    <col min="10" max="10" width="21" style="117" bestFit="1" customWidth="1"/>
    <col min="11" max="11" width="11.140625" style="117" customWidth="1"/>
    <col min="12" max="12" width="17.85546875" style="117" customWidth="1"/>
    <col min="13" max="13" width="11.140625" style="117" customWidth="1"/>
    <col min="14" max="14" width="1.7109375" style="117" customWidth="1"/>
    <col min="15" max="15" width="10.7109375" style="117" customWidth="1"/>
    <col min="16" max="16" width="11.7109375" style="118" customWidth="1"/>
    <col min="17" max="17" width="10.7109375" style="117" bestFit="1" customWidth="1"/>
    <col min="18" max="18" width="11.85546875" style="117" bestFit="1" customWidth="1"/>
    <col min="19" max="16384" width="11.42578125" style="117"/>
  </cols>
  <sheetData>
    <row r="1" spans="2:22" ht="15" customHeight="1">
      <c r="B1" s="116" t="s">
        <v>191</v>
      </c>
    </row>
    <row r="2" spans="2:22" ht="15" customHeight="1">
      <c r="B2" s="116" t="s">
        <v>192</v>
      </c>
      <c r="T2" s="119"/>
    </row>
    <row r="3" spans="2:22" ht="15" customHeight="1" thickBot="1">
      <c r="H3" s="120" t="s">
        <v>193</v>
      </c>
      <c r="L3" s="121"/>
      <c r="R3" s="122"/>
    </row>
    <row r="4" spans="2:22" ht="15" customHeight="1" thickBot="1">
      <c r="B4" s="123" t="s">
        <v>194</v>
      </c>
      <c r="C4" s="124"/>
      <c r="D4" s="125" t="s">
        <v>195</v>
      </c>
      <c r="E4" s="125" t="s">
        <v>196</v>
      </c>
      <c r="F4" s="125" t="s">
        <v>197</v>
      </c>
      <c r="H4" s="116" t="s">
        <v>198</v>
      </c>
      <c r="J4" s="126" t="str">
        <f>+D4</f>
        <v>Jun-22</v>
      </c>
      <c r="L4" s="126" t="str">
        <f>+E4</f>
        <v>Dec-21</v>
      </c>
      <c r="O4" s="127"/>
      <c r="R4" s="128"/>
      <c r="S4" s="128"/>
      <c r="T4" s="129"/>
      <c r="U4" s="128"/>
      <c r="V4" s="128"/>
    </row>
    <row r="5" spans="2:22" ht="15" customHeight="1" thickBot="1">
      <c r="B5" s="130"/>
      <c r="C5" s="131"/>
      <c r="D5" s="131"/>
      <c r="E5" s="132"/>
      <c r="F5" s="133"/>
      <c r="H5" s="134" t="s">
        <v>199</v>
      </c>
      <c r="J5" s="121"/>
      <c r="K5" s="121"/>
      <c r="M5" s="121"/>
      <c r="P5" s="135"/>
    </row>
    <row r="6" spans="2:22" ht="15" customHeight="1">
      <c r="B6" s="136" t="s">
        <v>200</v>
      </c>
      <c r="C6" s="137" t="s">
        <v>115</v>
      </c>
      <c r="D6" s="138">
        <f>+Balance!D15</f>
        <v>273652598</v>
      </c>
      <c r="E6" s="139">
        <f>+Balance!E15</f>
        <v>285099777</v>
      </c>
      <c r="F6" s="140">
        <v>305478978</v>
      </c>
      <c r="H6" s="116" t="s">
        <v>201</v>
      </c>
      <c r="J6" s="121"/>
      <c r="K6" s="121"/>
      <c r="M6" s="121"/>
      <c r="O6" s="141"/>
    </row>
    <row r="7" spans="2:22" ht="15" customHeight="1">
      <c r="B7" s="136" t="s">
        <v>202</v>
      </c>
      <c r="C7" s="137" t="s">
        <v>115</v>
      </c>
      <c r="D7" s="138">
        <f>+Balance!D26</f>
        <v>2250015038</v>
      </c>
      <c r="E7" s="139">
        <f>+Balance!E26</f>
        <v>2216722469</v>
      </c>
      <c r="F7" s="140">
        <v>2113551778</v>
      </c>
      <c r="H7" s="142" t="s">
        <v>203</v>
      </c>
      <c r="I7" s="117" t="s">
        <v>204</v>
      </c>
      <c r="J7" s="143">
        <f>+D6</f>
        <v>273652598</v>
      </c>
      <c r="K7" s="144">
        <f>ROUND(J7/J8,2)</f>
        <v>1.1599999999999999</v>
      </c>
      <c r="L7" s="143">
        <f>+E6</f>
        <v>285099777</v>
      </c>
      <c r="M7" s="144">
        <f>ROUND(L7/L8,2)</f>
        <v>1.1399999999999999</v>
      </c>
      <c r="N7" s="145"/>
      <c r="O7" s="146">
        <f>ROUND((K7/M7)-1,3)</f>
        <v>1.7999999999999999E-2</v>
      </c>
      <c r="P7" s="147">
        <f>ROUND((J7/L7)-1,3)</f>
        <v>-0.04</v>
      </c>
      <c r="Q7" s="121">
        <f>+J7-L7</f>
        <v>-11447179</v>
      </c>
    </row>
    <row r="8" spans="2:22" ht="15" customHeight="1">
      <c r="B8" s="148" t="s">
        <v>205</v>
      </c>
      <c r="C8" s="149"/>
      <c r="D8" s="150">
        <f>SUM(D6:D7)</f>
        <v>2523667636</v>
      </c>
      <c r="E8" s="151">
        <f>SUM(E6:E7)</f>
        <v>2501822246</v>
      </c>
      <c r="F8" s="152">
        <v>2419030756</v>
      </c>
      <c r="H8" s="117" t="s">
        <v>206</v>
      </c>
      <c r="J8" s="121">
        <f>+D10</f>
        <v>236874034</v>
      </c>
      <c r="K8" s="121"/>
      <c r="L8" s="121">
        <f>+E10</f>
        <v>249136828</v>
      </c>
      <c r="M8" s="121"/>
      <c r="O8" s="153"/>
      <c r="P8" s="147">
        <f>ROUND((J8/L8)-1,3)</f>
        <v>-4.9000000000000002E-2</v>
      </c>
      <c r="Q8" s="121">
        <f>+J8-L8</f>
        <v>-12262794</v>
      </c>
    </row>
    <row r="9" spans="2:22" ht="15" customHeight="1">
      <c r="B9" s="136"/>
      <c r="C9" s="131"/>
      <c r="D9" s="138"/>
      <c r="E9" s="139"/>
      <c r="F9" s="140"/>
      <c r="H9" s="116" t="s">
        <v>207</v>
      </c>
      <c r="J9" s="121"/>
      <c r="K9" s="121"/>
      <c r="L9" s="121"/>
      <c r="M9" s="121"/>
      <c r="O9" s="154"/>
    </row>
    <row r="10" spans="2:22" ht="15" customHeight="1">
      <c r="B10" s="136" t="s">
        <v>208</v>
      </c>
      <c r="C10" s="137" t="s">
        <v>115</v>
      </c>
      <c r="D10" s="138">
        <f>+Balance!D44</f>
        <v>236874034</v>
      </c>
      <c r="E10" s="139">
        <f>+Balance!E44</f>
        <v>249136828</v>
      </c>
      <c r="F10" s="140">
        <v>245462938</v>
      </c>
      <c r="H10" s="142" t="s">
        <v>209</v>
      </c>
      <c r="I10" s="117" t="s">
        <v>204</v>
      </c>
      <c r="J10" s="143">
        <f>+Balance!D6</f>
        <v>148442598</v>
      </c>
      <c r="K10" s="144">
        <f>ROUND(J10/J11,2)</f>
        <v>0.63</v>
      </c>
      <c r="L10" s="143">
        <f>+Balance!E6</f>
        <v>164558880</v>
      </c>
      <c r="M10" s="144">
        <f>ROUND(L10/L11,2)</f>
        <v>0.66</v>
      </c>
      <c r="N10" s="145"/>
      <c r="O10" s="146">
        <f>ROUND((K10/M10)-1,4)</f>
        <v>-4.5499999999999999E-2</v>
      </c>
      <c r="P10" s="147">
        <f>ROUND((J10/L10)-1,3)</f>
        <v>-9.8000000000000004E-2</v>
      </c>
      <c r="Q10" s="121">
        <f>+J10-L10</f>
        <v>-16116282</v>
      </c>
      <c r="R10" s="155"/>
    </row>
    <row r="11" spans="2:22" ht="15" customHeight="1" thickBot="1">
      <c r="B11" s="136" t="s">
        <v>210</v>
      </c>
      <c r="C11" s="137" t="s">
        <v>115</v>
      </c>
      <c r="D11" s="138">
        <f>+Balance!D54</f>
        <v>1171105128</v>
      </c>
      <c r="E11" s="139">
        <f>+Balance!E54</f>
        <v>1138295178</v>
      </c>
      <c r="F11" s="140">
        <v>1059920436</v>
      </c>
      <c r="H11" s="117" t="s">
        <v>206</v>
      </c>
      <c r="J11" s="121">
        <f>+D10</f>
        <v>236874034</v>
      </c>
      <c r="K11" s="121"/>
      <c r="L11" s="121">
        <f>+E10</f>
        <v>249136828</v>
      </c>
      <c r="M11" s="121"/>
      <c r="O11" s="153"/>
      <c r="P11" s="147">
        <f>ROUND((J11/L11)-1,3)</f>
        <v>-4.9000000000000002E-2</v>
      </c>
      <c r="Q11" s="121">
        <f>+J11-L11</f>
        <v>-12262794</v>
      </c>
    </row>
    <row r="12" spans="2:22" ht="15" customHeight="1" thickBot="1">
      <c r="B12" s="136" t="s">
        <v>211</v>
      </c>
      <c r="C12" s="137" t="s">
        <v>115</v>
      </c>
      <c r="D12" s="138">
        <f>+Balance!D64</f>
        <v>420803216</v>
      </c>
      <c r="E12" s="139">
        <f>+Balance!E64</f>
        <v>420425370</v>
      </c>
      <c r="F12" s="140">
        <v>419526775</v>
      </c>
      <c r="H12" s="134" t="s">
        <v>212</v>
      </c>
      <c r="J12" s="121"/>
      <c r="K12" s="121"/>
      <c r="L12" s="121"/>
      <c r="M12" s="121"/>
      <c r="O12" s="153"/>
    </row>
    <row r="13" spans="2:22" ht="15" customHeight="1">
      <c r="B13" s="136" t="s">
        <v>213</v>
      </c>
      <c r="C13" s="137" t="s">
        <v>115</v>
      </c>
      <c r="D13" s="138">
        <f>+Balance!D63</f>
        <v>694885258</v>
      </c>
      <c r="E13" s="139">
        <f>+Balance!E63</f>
        <v>693964870</v>
      </c>
      <c r="F13" s="140">
        <v>694120607</v>
      </c>
      <c r="H13" s="116" t="s">
        <v>214</v>
      </c>
      <c r="J13" s="121"/>
      <c r="K13" s="121"/>
      <c r="L13" s="121"/>
      <c r="M13" s="121"/>
      <c r="O13" s="153"/>
    </row>
    <row r="14" spans="2:22" ht="15" customHeight="1" thickBot="1">
      <c r="B14" s="156" t="s">
        <v>205</v>
      </c>
      <c r="C14" s="157"/>
      <c r="D14" s="158">
        <f>SUM(D10:D13)</f>
        <v>2523667636</v>
      </c>
      <c r="E14" s="159">
        <f>SUM(E10:E13)</f>
        <v>2501822246</v>
      </c>
      <c r="F14" s="160">
        <v>2419030756</v>
      </c>
      <c r="H14" s="142" t="s">
        <v>215</v>
      </c>
      <c r="I14" s="117" t="s">
        <v>204</v>
      </c>
      <c r="J14" s="143">
        <f>+D10+D11</f>
        <v>1407979162</v>
      </c>
      <c r="K14" s="161">
        <f>ROUND(J14/J15,2)</f>
        <v>1.26</v>
      </c>
      <c r="L14" s="143">
        <f>+E10+E11</f>
        <v>1387432006</v>
      </c>
      <c r="M14" s="161">
        <f>ROUND(L14/L15,2)</f>
        <v>1.25</v>
      </c>
      <c r="N14" s="162"/>
      <c r="O14" s="146">
        <f>ROUND((K14/M14)-1,4)</f>
        <v>8.0000000000000002E-3</v>
      </c>
      <c r="P14" s="147">
        <f>ROUND((J14/L14)-1,3)</f>
        <v>1.4999999999999999E-2</v>
      </c>
      <c r="Q14" s="121">
        <f>+J14-L14</f>
        <v>20547156</v>
      </c>
    </row>
    <row r="15" spans="2:22" ht="15" customHeight="1" thickBot="1">
      <c r="B15" s="163"/>
      <c r="D15" s="164">
        <f>+D8-D14</f>
        <v>0</v>
      </c>
      <c r="E15" s="164">
        <f t="shared" ref="E15:F15" si="0">+E8-E14</f>
        <v>0</v>
      </c>
      <c r="F15" s="164">
        <f t="shared" si="0"/>
        <v>0</v>
      </c>
      <c r="H15" s="117" t="s">
        <v>216</v>
      </c>
      <c r="J15" s="121">
        <f>+D13+D12</f>
        <v>1115688474</v>
      </c>
      <c r="K15" s="121"/>
      <c r="L15" s="121">
        <f>+E13+E12</f>
        <v>1114390240</v>
      </c>
      <c r="M15" s="121"/>
      <c r="O15" s="153"/>
      <c r="P15" s="147">
        <f>ROUND((J15/L15)-1,3)</f>
        <v>1E-3</v>
      </c>
      <c r="Q15" s="121">
        <f>+J15-L15</f>
        <v>1298234</v>
      </c>
    </row>
    <row r="16" spans="2:22" ht="15" customHeight="1">
      <c r="B16" s="123" t="s">
        <v>217</v>
      </c>
      <c r="C16" s="124"/>
      <c r="D16" s="165" t="str">
        <f>+D4</f>
        <v>Jun-22</v>
      </c>
      <c r="E16" s="165" t="s">
        <v>218</v>
      </c>
      <c r="F16" s="166" t="s">
        <v>196</v>
      </c>
      <c r="H16" s="116" t="s">
        <v>219</v>
      </c>
      <c r="J16" s="121"/>
      <c r="K16" s="121"/>
      <c r="L16" s="121"/>
      <c r="M16" s="121"/>
      <c r="O16" s="141"/>
    </row>
    <row r="17" spans="1:20" ht="15" customHeight="1">
      <c r="B17" s="130"/>
      <c r="C17" s="167"/>
      <c r="D17" s="168"/>
      <c r="E17" s="168"/>
      <c r="F17" s="169"/>
      <c r="H17" s="170" t="s">
        <v>206</v>
      </c>
      <c r="I17" s="117" t="s">
        <v>204</v>
      </c>
      <c r="J17" s="143">
        <f>+D10</f>
        <v>236874034</v>
      </c>
      <c r="K17" s="161">
        <f>ROUND(J17/J18,4)</f>
        <v>0.16819999999999999</v>
      </c>
      <c r="L17" s="143">
        <f>+E10</f>
        <v>249136828</v>
      </c>
      <c r="M17" s="161">
        <f>ROUND(L17/L18,4)</f>
        <v>0.17960000000000001</v>
      </c>
      <c r="N17" s="162"/>
      <c r="O17" s="146">
        <f>ROUND((K17/M17)-1,4)</f>
        <v>-6.3500000000000001E-2</v>
      </c>
      <c r="P17" s="147">
        <f>ROUND((J17/L17)-1,3)</f>
        <v>-4.9000000000000002E-2</v>
      </c>
      <c r="Q17" s="121">
        <f>+J17-L17</f>
        <v>-12262794</v>
      </c>
      <c r="R17" s="146"/>
    </row>
    <row r="18" spans="1:20" ht="15" customHeight="1">
      <c r="B18" s="136" t="s">
        <v>220</v>
      </c>
      <c r="C18" s="137" t="s">
        <v>115</v>
      </c>
      <c r="D18" s="168">
        <f>+C50</f>
        <v>281222606</v>
      </c>
      <c r="E18" s="168">
        <f>+D50</f>
        <v>256946925</v>
      </c>
      <c r="F18" s="169">
        <v>506458487</v>
      </c>
      <c r="H18" s="117" t="s">
        <v>221</v>
      </c>
      <c r="J18" s="121">
        <f>+D10+D11</f>
        <v>1407979162</v>
      </c>
      <c r="K18" s="121"/>
      <c r="L18" s="121">
        <f>+E10+E11</f>
        <v>1387432006</v>
      </c>
      <c r="M18" s="121"/>
      <c r="O18" s="153"/>
      <c r="P18" s="147">
        <f>ROUND((J18/L18)-1,3)</f>
        <v>1.4999999999999999E-2</v>
      </c>
      <c r="Q18" s="121">
        <f>+J18-L18</f>
        <v>20547156</v>
      </c>
    </row>
    <row r="19" spans="1:20" ht="15" customHeight="1">
      <c r="B19" s="136" t="s">
        <v>222</v>
      </c>
      <c r="C19" s="137" t="s">
        <v>115</v>
      </c>
      <c r="D19" s="168">
        <f>-C51-C53-C54-C55-C52</f>
        <v>169272372</v>
      </c>
      <c r="E19" s="168">
        <f>-D51-D53-D54-D55-D52</f>
        <v>152168098</v>
      </c>
      <c r="F19" s="169">
        <v>314277183</v>
      </c>
      <c r="H19" s="116" t="s">
        <v>223</v>
      </c>
      <c r="J19" s="121"/>
      <c r="K19" s="121"/>
      <c r="L19" s="121"/>
      <c r="M19" s="121"/>
      <c r="O19" s="141"/>
      <c r="P19" s="171"/>
      <c r="Q19" s="121"/>
      <c r="R19" s="153"/>
      <c r="T19" s="121"/>
    </row>
    <row r="20" spans="1:20" ht="15" customHeight="1">
      <c r="B20" s="130" t="s">
        <v>224</v>
      </c>
      <c r="C20" s="167" t="s">
        <v>115</v>
      </c>
      <c r="D20" s="172">
        <f>+C64</f>
        <v>40694039</v>
      </c>
      <c r="E20" s="172">
        <f>+D64</f>
        <v>72430621</v>
      </c>
      <c r="F20" s="173">
        <v>118876770</v>
      </c>
      <c r="H20" s="170" t="s">
        <v>225</v>
      </c>
      <c r="I20" s="117" t="s">
        <v>204</v>
      </c>
      <c r="J20" s="143">
        <f>+D11</f>
        <v>1171105128</v>
      </c>
      <c r="K20" s="161">
        <f>ROUND(J20/J21,4)</f>
        <v>0.83179999999999998</v>
      </c>
      <c r="L20" s="143">
        <f>+E11</f>
        <v>1138295178</v>
      </c>
      <c r="M20" s="161">
        <f>ROUND(L20/L21,4)</f>
        <v>0.82040000000000002</v>
      </c>
      <c r="N20" s="162"/>
      <c r="O20" s="146">
        <f>ROUND((K20/M20)-1,4)</f>
        <v>1.3899999999999999E-2</v>
      </c>
      <c r="P20" s="147">
        <f>ROUND((J20/L20)-1,3)</f>
        <v>2.9000000000000001E-2</v>
      </c>
      <c r="Q20" s="121">
        <f>+J20-L20</f>
        <v>32809950</v>
      </c>
      <c r="R20" s="153"/>
      <c r="T20" s="121"/>
    </row>
    <row r="21" spans="1:20" ht="15" customHeight="1">
      <c r="B21" s="136" t="s">
        <v>226</v>
      </c>
      <c r="C21" s="137" t="s">
        <v>115</v>
      </c>
      <c r="D21" s="168">
        <f>+C58</f>
        <v>-15977703</v>
      </c>
      <c r="E21" s="168">
        <f>+D58</f>
        <v>-13555311</v>
      </c>
      <c r="F21" s="169">
        <v>-27866277</v>
      </c>
      <c r="H21" s="117" t="s">
        <v>221</v>
      </c>
      <c r="J21" s="121">
        <f>+J18</f>
        <v>1407979162</v>
      </c>
      <c r="K21" s="121" t="s">
        <v>193</v>
      </c>
      <c r="L21" s="121">
        <f>+L18</f>
        <v>1387432006</v>
      </c>
      <c r="M21" s="121" t="s">
        <v>193</v>
      </c>
      <c r="O21" s="153"/>
      <c r="P21" s="147">
        <f>ROUND((J21/L21)-1,3)</f>
        <v>1.4999999999999999E-2</v>
      </c>
      <c r="Q21" s="121">
        <f>+J21-L21</f>
        <v>20547156</v>
      </c>
      <c r="T21" s="121"/>
    </row>
    <row r="22" spans="1:20" ht="15" customHeight="1">
      <c r="B22" s="136" t="s">
        <v>227</v>
      </c>
      <c r="C22" s="137" t="s">
        <v>115</v>
      </c>
      <c r="D22" s="168">
        <f>+J32</f>
        <v>49564998</v>
      </c>
      <c r="E22" s="168">
        <f>+L32</f>
        <v>115505655</v>
      </c>
      <c r="F22" s="169">
        <v>115505655</v>
      </c>
      <c r="H22" s="116" t="s">
        <v>228</v>
      </c>
      <c r="J22" s="121"/>
      <c r="K22" s="121"/>
      <c r="L22" s="121"/>
      <c r="M22" s="121"/>
      <c r="O22" s="153"/>
      <c r="P22" s="174"/>
    </row>
    <row r="23" spans="1:20" ht="15" customHeight="1">
      <c r="B23" s="136" t="s">
        <v>229</v>
      </c>
      <c r="C23" s="137" t="s">
        <v>115</v>
      </c>
      <c r="D23" s="168">
        <f>+C69</f>
        <v>21384076</v>
      </c>
      <c r="E23" s="168">
        <f>+D69</f>
        <v>28643815</v>
      </c>
      <c r="F23" s="169">
        <v>48989722</v>
      </c>
      <c r="H23" s="142" t="s">
        <v>230</v>
      </c>
      <c r="J23" s="143">
        <f>Anualizados!C13</f>
        <v>117428857</v>
      </c>
      <c r="K23" s="144">
        <f>ROUND(J23/J24,2)</f>
        <v>3.88</v>
      </c>
      <c r="L23" s="143">
        <f>+F20-F21</f>
        <v>146743047</v>
      </c>
      <c r="M23" s="144">
        <f>ROUND(L23/L24,2)</f>
        <v>5.27</v>
      </c>
      <c r="N23" s="175"/>
      <c r="O23" s="146">
        <f>ROUND((K23/M23)-1,4)</f>
        <v>-0.26379999999999998</v>
      </c>
      <c r="P23" s="147">
        <f>ROUND((J23/L23)-1,3)</f>
        <v>-0.2</v>
      </c>
      <c r="Q23" s="121">
        <f>+J23-L23</f>
        <v>-29314190</v>
      </c>
    </row>
    <row r="24" spans="1:20" ht="15" customHeight="1" thickBot="1">
      <c r="B24" s="136" t="s">
        <v>231</v>
      </c>
      <c r="C24" s="137" t="s">
        <v>115</v>
      </c>
      <c r="D24" s="168">
        <f>+C65</f>
        <v>2496350</v>
      </c>
      <c r="E24" s="168">
        <f>+D65</f>
        <v>-14699913</v>
      </c>
      <c r="F24" s="169">
        <v>-19665778</v>
      </c>
      <c r="H24" s="117" t="s">
        <v>232</v>
      </c>
      <c r="J24" s="121">
        <f>Anualizados!C20</f>
        <v>30288669</v>
      </c>
      <c r="K24" s="176"/>
      <c r="L24" s="121">
        <f>-E58</f>
        <v>27866277</v>
      </c>
      <c r="M24" s="176"/>
      <c r="O24" s="121"/>
      <c r="P24" s="177">
        <f>ROUND((J24/L24)-1,3)</f>
        <v>8.6999999999999994E-2</v>
      </c>
      <c r="Q24" s="121">
        <f>+J24-L24</f>
        <v>2422392</v>
      </c>
      <c r="T24" s="162"/>
    </row>
    <row r="25" spans="1:20" ht="15" customHeight="1" thickBot="1">
      <c r="B25" s="178" t="s">
        <v>233</v>
      </c>
      <c r="C25" s="179" t="s">
        <v>115</v>
      </c>
      <c r="D25" s="180">
        <f>+C53</f>
        <v>-36505882</v>
      </c>
      <c r="E25" s="180">
        <f>+D53</f>
        <v>-33845344</v>
      </c>
      <c r="F25" s="181">
        <v>-69205148</v>
      </c>
      <c r="H25" s="182" t="s">
        <v>234</v>
      </c>
      <c r="I25" s="183"/>
      <c r="J25" s="184"/>
      <c r="K25" s="184"/>
      <c r="L25" s="184"/>
      <c r="M25" s="184"/>
      <c r="N25" s="183"/>
      <c r="O25" s="185"/>
      <c r="P25" s="183"/>
    </row>
    <row r="26" spans="1:20" ht="15" customHeight="1" thickBot="1">
      <c r="C26" s="128"/>
      <c r="D26" s="186"/>
      <c r="E26" s="187"/>
      <c r="F26" s="186"/>
      <c r="H26" s="183" t="s">
        <v>235</v>
      </c>
      <c r="I26" s="183" t="s">
        <v>204</v>
      </c>
      <c r="J26" s="188">
        <f>+D23</f>
        <v>21384076</v>
      </c>
      <c r="K26" s="184"/>
      <c r="L26" s="188">
        <f>+F23</f>
        <v>48989722</v>
      </c>
      <c r="M26" s="184"/>
      <c r="N26" s="183"/>
      <c r="O26" s="185"/>
      <c r="P26" s="183">
        <v>1000</v>
      </c>
      <c r="R26" s="153"/>
    </row>
    <row r="27" spans="1:20" ht="15" customHeight="1">
      <c r="A27" s="189"/>
      <c r="B27" s="123" t="s">
        <v>236</v>
      </c>
      <c r="C27" s="124"/>
      <c r="D27" s="190" t="str">
        <f>+D4</f>
        <v>Jun-22</v>
      </c>
      <c r="E27" s="190" t="str">
        <f>+E16</f>
        <v>Jun-21</v>
      </c>
      <c r="F27" s="191" t="s">
        <v>196</v>
      </c>
      <c r="H27" s="183" t="s">
        <v>237</v>
      </c>
      <c r="I27" s="183" t="s">
        <v>204</v>
      </c>
      <c r="J27" s="188">
        <f>-D24</f>
        <v>-2496350</v>
      </c>
      <c r="K27" s="184"/>
      <c r="L27" s="188">
        <f>-F24</f>
        <v>19665778</v>
      </c>
      <c r="M27" s="184"/>
      <c r="N27" s="183"/>
      <c r="O27" s="185"/>
      <c r="P27" s="183"/>
      <c r="Q27" s="162"/>
      <c r="R27" s="153"/>
      <c r="T27" s="162"/>
    </row>
    <row r="28" spans="1:20" ht="15" customHeight="1">
      <c r="B28" s="136" t="s">
        <v>238</v>
      </c>
      <c r="C28" s="137" t="s">
        <v>115</v>
      </c>
      <c r="D28" s="192" t="e">
        <f>+Flujo!D24</f>
        <v>#REF!</v>
      </c>
      <c r="E28" s="192" t="e">
        <f>+Flujo!E24</f>
        <v>#REF!</v>
      </c>
      <c r="F28" s="193">
        <v>229945799</v>
      </c>
      <c r="H28" s="183" t="s">
        <v>239</v>
      </c>
      <c r="I28" s="183" t="s">
        <v>204</v>
      </c>
      <c r="J28" s="188">
        <f>-D21</f>
        <v>15977703</v>
      </c>
      <c r="K28" s="184"/>
      <c r="L28" s="188">
        <f>-F21</f>
        <v>27866277</v>
      </c>
      <c r="M28" s="184"/>
      <c r="N28" s="184"/>
      <c r="O28" s="185"/>
      <c r="P28" s="184"/>
      <c r="Q28" s="121"/>
      <c r="R28" s="153"/>
      <c r="T28" s="121"/>
    </row>
    <row r="29" spans="1:20" ht="15" customHeight="1">
      <c r="A29" s="194"/>
      <c r="B29" s="136" t="s">
        <v>240</v>
      </c>
      <c r="C29" s="137" t="s">
        <v>115</v>
      </c>
      <c r="D29" s="192">
        <f>+Flujo!D49</f>
        <v>-77735020</v>
      </c>
      <c r="E29" s="192">
        <f>+Flujo!E49</f>
        <v>-78656522</v>
      </c>
      <c r="F29" s="193">
        <v>-157671083</v>
      </c>
      <c r="H29" s="183" t="s">
        <v>233</v>
      </c>
      <c r="I29" s="183" t="s">
        <v>204</v>
      </c>
      <c r="J29" s="188">
        <f>-D25</f>
        <v>36505882</v>
      </c>
      <c r="K29" s="184"/>
      <c r="L29" s="188">
        <f>-F25</f>
        <v>69205148</v>
      </c>
      <c r="M29" s="184"/>
      <c r="N29" s="183"/>
      <c r="O29" s="185"/>
      <c r="P29" s="183"/>
      <c r="R29" s="153"/>
    </row>
    <row r="30" spans="1:20" ht="15" customHeight="1">
      <c r="A30" s="195"/>
      <c r="B30" s="136" t="s">
        <v>241</v>
      </c>
      <c r="C30" s="137" t="s">
        <v>115</v>
      </c>
      <c r="D30" s="192">
        <f>+Flujo!D66</f>
        <v>-66619091</v>
      </c>
      <c r="E30" s="192">
        <f>+Flujo!E66</f>
        <v>-74164478</v>
      </c>
      <c r="F30" s="193">
        <v>-85680689</v>
      </c>
      <c r="H30" s="183" t="s">
        <v>30</v>
      </c>
      <c r="I30" s="183" t="s">
        <v>204</v>
      </c>
      <c r="J30" s="188">
        <f>-C67</f>
        <v>-21806313</v>
      </c>
      <c r="K30" s="183"/>
      <c r="L30" s="188">
        <f>-E67</f>
        <v>-50221270</v>
      </c>
      <c r="M30" s="183"/>
      <c r="N30" s="183"/>
      <c r="O30" s="185"/>
      <c r="P30" s="183"/>
      <c r="Q30" s="196"/>
      <c r="R30" s="153"/>
      <c r="T30" s="196"/>
    </row>
    <row r="31" spans="1:20" ht="15" customHeight="1">
      <c r="A31" s="195"/>
      <c r="B31" s="130" t="s">
        <v>242</v>
      </c>
      <c r="C31" s="137" t="s">
        <v>115</v>
      </c>
      <c r="D31" s="197" t="e">
        <f>SUM(D28:D30)</f>
        <v>#REF!</v>
      </c>
      <c r="E31" s="197" t="e">
        <f>SUM(E28:E30)</f>
        <v>#REF!</v>
      </c>
      <c r="F31" s="198">
        <v>-13405973</v>
      </c>
      <c r="H31" s="183" t="s">
        <v>243</v>
      </c>
      <c r="I31" s="183" t="s">
        <v>204</v>
      </c>
      <c r="J31" s="188">
        <v>0</v>
      </c>
      <c r="K31" s="184"/>
      <c r="L31" s="188">
        <v>0</v>
      </c>
      <c r="M31" s="184"/>
      <c r="N31" s="183"/>
      <c r="O31" s="185"/>
      <c r="P31" s="183">
        <v>37</v>
      </c>
      <c r="R31" s="153"/>
    </row>
    <row r="32" spans="1:20" ht="15" customHeight="1">
      <c r="A32" s="195"/>
      <c r="B32" s="136" t="s">
        <v>244</v>
      </c>
      <c r="C32" s="137" t="s">
        <v>115</v>
      </c>
      <c r="D32" s="192">
        <f>+Flujo!D71</f>
        <v>164558880</v>
      </c>
      <c r="E32" s="192">
        <f>+Flujo!E71</f>
        <v>177964853</v>
      </c>
      <c r="F32" s="193">
        <v>177964853</v>
      </c>
      <c r="H32" s="199" t="s">
        <v>227</v>
      </c>
      <c r="I32" s="183"/>
      <c r="J32" s="200">
        <f>SUM(J26:J31)</f>
        <v>49564998</v>
      </c>
      <c r="K32" s="184"/>
      <c r="L32" s="200">
        <f>SUM(L26:L31)</f>
        <v>115505655</v>
      </c>
      <c r="M32" s="201">
        <f>ROUND((J32/L32)-1,4)</f>
        <v>-0.57089999999999996</v>
      </c>
      <c r="N32" s="184"/>
      <c r="O32" s="202"/>
      <c r="P32" s="183">
        <v>9</v>
      </c>
      <c r="R32" s="153"/>
    </row>
    <row r="33" spans="2:20" ht="15" customHeight="1" thickBot="1">
      <c r="B33" s="156" t="s">
        <v>245</v>
      </c>
      <c r="C33" s="203" t="s">
        <v>115</v>
      </c>
      <c r="D33" s="204" t="e">
        <f>+D32+D31</f>
        <v>#REF!</v>
      </c>
      <c r="E33" s="204" t="e">
        <f>+E32+E31</f>
        <v>#REF!</v>
      </c>
      <c r="F33" s="205">
        <v>164558880</v>
      </c>
      <c r="H33" s="199"/>
      <c r="I33" s="183"/>
      <c r="J33" s="184"/>
      <c r="K33" s="184"/>
      <c r="L33" s="184"/>
      <c r="M33" s="184"/>
      <c r="N33" s="184"/>
      <c r="O33" s="185"/>
      <c r="P33" s="183">
        <f>+P31+P32</f>
        <v>46</v>
      </c>
      <c r="Q33" s="206"/>
      <c r="R33" s="153"/>
      <c r="T33" s="206"/>
    </row>
    <row r="34" spans="2:20" ht="15" customHeight="1" thickBot="1">
      <c r="D34" s="2" t="e">
        <f>+D33-Balance!D6</f>
        <v>#REF!</v>
      </c>
      <c r="E34" s="2" t="e">
        <f>+E33-Balance!E6</f>
        <v>#REF!</v>
      </c>
      <c r="F34" s="2">
        <f>+F33-Balance!E6</f>
        <v>0</v>
      </c>
      <c r="H34" s="199"/>
      <c r="I34" s="183"/>
      <c r="J34" s="184"/>
      <c r="K34" s="207"/>
      <c r="L34" s="184"/>
      <c r="M34" s="207"/>
      <c r="N34" s="184"/>
      <c r="O34" s="202"/>
      <c r="P34" s="208"/>
      <c r="Q34" s="121"/>
      <c r="R34" s="153"/>
      <c r="T34" s="121"/>
    </row>
    <row r="35" spans="2:20" ht="15" customHeight="1">
      <c r="B35" s="209" t="s">
        <v>246</v>
      </c>
      <c r="C35" s="295" t="s">
        <v>247</v>
      </c>
      <c r="D35" s="210">
        <f>+[7]Balance!$D$63</f>
        <v>690940230</v>
      </c>
      <c r="E35" s="153"/>
      <c r="F35" s="153"/>
      <c r="H35" s="199" t="s">
        <v>248</v>
      </c>
      <c r="I35" s="183"/>
      <c r="J35" s="184">
        <f>+D18</f>
        <v>281222606</v>
      </c>
      <c r="K35" s="184"/>
      <c r="L35" s="184">
        <f>+E18</f>
        <v>256946925</v>
      </c>
      <c r="M35" s="184"/>
      <c r="N35" s="184"/>
      <c r="O35" s="183"/>
      <c r="P35" s="208">
        <f>ROUND((J35/L35)-1,4)</f>
        <v>9.4500000000000001E-2</v>
      </c>
      <c r="R35" s="153"/>
    </row>
    <row r="36" spans="2:20" ht="15" customHeight="1" thickBot="1">
      <c r="B36" s="211" t="s">
        <v>249</v>
      </c>
      <c r="C36" s="296" t="s">
        <v>247</v>
      </c>
      <c r="D36" s="213">
        <f>+[7]Balance!$D$28</f>
        <v>2415566316</v>
      </c>
      <c r="E36" s="153"/>
      <c r="F36" s="153"/>
      <c r="H36" s="116"/>
      <c r="J36" s="214"/>
      <c r="K36" s="121"/>
      <c r="L36" s="214"/>
      <c r="M36" s="121"/>
      <c r="N36" s="121"/>
      <c r="P36" s="121"/>
      <c r="R36" s="153"/>
    </row>
    <row r="37" spans="2:20" ht="15" customHeight="1" thickBot="1">
      <c r="B37" s="211"/>
      <c r="C37" s="212"/>
      <c r="D37" s="213"/>
      <c r="E37" s="153"/>
      <c r="F37" s="153"/>
      <c r="H37" s="134" t="s">
        <v>250</v>
      </c>
      <c r="J37" s="121"/>
      <c r="K37" s="121"/>
      <c r="L37" s="121"/>
      <c r="M37" s="121"/>
      <c r="P37" s="121"/>
      <c r="Q37" s="162"/>
      <c r="R37" s="162" t="s">
        <v>193</v>
      </c>
      <c r="T37" s="162"/>
    </row>
    <row r="38" spans="2:20" ht="15" customHeight="1">
      <c r="B38" s="211"/>
      <c r="C38" s="212"/>
      <c r="D38" s="215"/>
      <c r="E38" s="153"/>
      <c r="F38" s="153"/>
      <c r="H38" s="116" t="s">
        <v>251</v>
      </c>
      <c r="J38" s="121"/>
      <c r="K38" s="121"/>
      <c r="L38" s="121"/>
      <c r="M38" s="121"/>
      <c r="O38" s="216"/>
      <c r="P38" s="117"/>
      <c r="R38" s="153"/>
    </row>
    <row r="39" spans="2:20" ht="15" customHeight="1" thickBot="1">
      <c r="B39" s="217"/>
      <c r="C39" s="218"/>
      <c r="D39" s="219"/>
      <c r="H39" s="142" t="s">
        <v>252</v>
      </c>
      <c r="I39" s="117" t="s">
        <v>204</v>
      </c>
      <c r="J39" s="143">
        <f>Anualizados!C6</f>
        <v>41729983</v>
      </c>
      <c r="K39" s="161">
        <f>ROUND(J39/J40,4)*100</f>
        <v>6.02</v>
      </c>
      <c r="L39" s="143">
        <f>+E69</f>
        <v>48989722</v>
      </c>
      <c r="M39" s="161">
        <f>ROUND(L39/L40,4)*100</f>
        <v>7.06</v>
      </c>
      <c r="N39" s="162"/>
      <c r="O39" s="146">
        <f>ROUND((K39/M39)-1,4)</f>
        <v>-0.14729999999999999</v>
      </c>
      <c r="P39" s="147">
        <f>ROUND((J39/L39)-1,3)</f>
        <v>-0.14799999999999999</v>
      </c>
      <c r="Q39" s="121">
        <f>+J39-L39</f>
        <v>-7259739</v>
      </c>
      <c r="R39" s="220"/>
    </row>
    <row r="40" spans="2:20" ht="15" customHeight="1" thickBot="1">
      <c r="H40" s="117" t="s">
        <v>253</v>
      </c>
      <c r="I40" s="117" t="s">
        <v>193</v>
      </c>
      <c r="J40" s="121">
        <f>ROUND((D13+D35)/2,0)</f>
        <v>692912744</v>
      </c>
      <c r="K40" s="121"/>
      <c r="L40" s="121">
        <f>ROUND((E13+F13)/2,0)</f>
        <v>694042739</v>
      </c>
      <c r="M40" s="121"/>
      <c r="O40" s="220"/>
      <c r="P40" s="147">
        <f>ROUND((J40/L40)-1,3)</f>
        <v>-2E-3</v>
      </c>
      <c r="Q40" s="121">
        <f>+J40-L40</f>
        <v>-1129995</v>
      </c>
      <c r="R40" s="153"/>
    </row>
    <row r="41" spans="2:20" ht="15" customHeight="1">
      <c r="B41" s="221" t="s">
        <v>254</v>
      </c>
      <c r="C41" s="125" t="s">
        <v>255</v>
      </c>
      <c r="D41" s="125" t="s">
        <v>256</v>
      </c>
      <c r="F41" s="117">
        <v>3200</v>
      </c>
      <c r="H41" s="116" t="s">
        <v>257</v>
      </c>
      <c r="J41" s="121"/>
      <c r="K41" s="121"/>
      <c r="L41" s="121"/>
      <c r="M41" s="121"/>
      <c r="O41" s="216"/>
      <c r="P41" s="222"/>
      <c r="Q41" s="220"/>
      <c r="R41" s="153"/>
    </row>
    <row r="42" spans="2:20" ht="15" customHeight="1">
      <c r="B42" s="136"/>
      <c r="C42" s="131"/>
      <c r="D42" s="133"/>
      <c r="F42" s="117">
        <v>2500</v>
      </c>
      <c r="H42" s="142" t="s">
        <v>252</v>
      </c>
      <c r="I42" s="117" t="s">
        <v>204</v>
      </c>
      <c r="J42" s="143">
        <f>+J39</f>
        <v>41729983</v>
      </c>
      <c r="K42" s="161">
        <f>ROUND(J42/J43,4)*100</f>
        <v>1.69</v>
      </c>
      <c r="L42" s="143">
        <f>+L39</f>
        <v>48989722</v>
      </c>
      <c r="M42" s="161">
        <f>ROUND(L42/L43,4)*100</f>
        <v>1.9900000000000002</v>
      </c>
      <c r="N42" s="162"/>
      <c r="O42" s="146">
        <f>ROUND((K42/M42)-1,4)</f>
        <v>-0.15079999999999999</v>
      </c>
      <c r="P42" s="147">
        <f>ROUND((J42/L42)-1,3)</f>
        <v>-0.14799999999999999</v>
      </c>
      <c r="Q42" s="121">
        <f>+J42-L42</f>
        <v>-7259739</v>
      </c>
    </row>
    <row r="43" spans="2:20" ht="15" customHeight="1">
      <c r="B43" s="136" t="s">
        <v>258</v>
      </c>
      <c r="C43" s="131">
        <v>20.490749999999998</v>
      </c>
      <c r="D43" s="133"/>
      <c r="F43" s="117">
        <f>+F41-F42</f>
        <v>700</v>
      </c>
      <c r="H43" s="117" t="s">
        <v>259</v>
      </c>
      <c r="I43" s="117" t="s">
        <v>193</v>
      </c>
      <c r="J43" s="223">
        <f>ROUND((+D8+D36)/2,0)</f>
        <v>2469616976</v>
      </c>
      <c r="K43" s="121"/>
      <c r="L43" s="223">
        <f>ROUND((E8+F8)/2,0)</f>
        <v>2460426501</v>
      </c>
      <c r="M43" s="121"/>
      <c r="N43" s="176"/>
      <c r="O43" s="220"/>
      <c r="P43" s="147">
        <f>ROUND((J43/L43)-1,3)</f>
        <v>4.0000000000000001E-3</v>
      </c>
      <c r="Q43" s="121">
        <f>+J43-L43</f>
        <v>9190475</v>
      </c>
    </row>
    <row r="44" spans="2:20" ht="15" customHeight="1">
      <c r="B44" s="136" t="s">
        <v>260</v>
      </c>
      <c r="C44" s="131">
        <f>+D44</f>
        <v>20.041</v>
      </c>
      <c r="D44" s="133">
        <v>20.041</v>
      </c>
      <c r="F44" s="403">
        <f>+F43/F42</f>
        <v>0.28000000000000003</v>
      </c>
      <c r="H44" s="116" t="s">
        <v>261</v>
      </c>
      <c r="J44" s="121"/>
      <c r="K44" s="121"/>
      <c r="L44" s="121"/>
      <c r="M44" s="121"/>
      <c r="P44" s="224"/>
    </row>
    <row r="45" spans="2:20" ht="15" customHeight="1">
      <c r="B45" s="136" t="s">
        <v>262</v>
      </c>
      <c r="C45" s="131"/>
      <c r="D45" s="133">
        <v>32.277999999999999</v>
      </c>
      <c r="H45" s="142" t="s">
        <v>263</v>
      </c>
      <c r="I45" s="117" t="s">
        <v>204</v>
      </c>
      <c r="J45" s="143">
        <f>+J42*1000</f>
        <v>41729983000</v>
      </c>
      <c r="K45" s="144">
        <f>ROUND(J45/J46,2)</f>
        <v>41.73</v>
      </c>
      <c r="L45" s="143">
        <f>+L39*1000</f>
        <v>48989722000</v>
      </c>
      <c r="M45" s="144">
        <f>ROUND(L45/L46,2)</f>
        <v>48.99</v>
      </c>
      <c r="N45" s="196"/>
      <c r="O45" s="146">
        <f>ROUND((K45/M45)-1,4)</f>
        <v>-0.1482</v>
      </c>
      <c r="P45" s="147">
        <f>ROUND((J45/L45)-1,3)</f>
        <v>-0.14799999999999999</v>
      </c>
    </row>
    <row r="46" spans="2:20" ht="15" customHeight="1" thickBot="1">
      <c r="B46" s="225"/>
      <c r="C46" s="226">
        <f>SUM(C42:C45)</f>
        <v>40.531750000000002</v>
      </c>
      <c r="D46" s="227">
        <f>SUM(D42:D45)</f>
        <v>52.319000000000003</v>
      </c>
      <c r="E46" s="228"/>
      <c r="F46" s="341"/>
      <c r="H46" s="117" t="s">
        <v>264</v>
      </c>
      <c r="J46" s="367">
        <v>1000000000</v>
      </c>
      <c r="K46" s="121"/>
      <c r="L46" s="367">
        <v>1000000000</v>
      </c>
      <c r="M46" s="121"/>
      <c r="P46" s="147">
        <f>ROUND((J46/L46)-1,3)</f>
        <v>0</v>
      </c>
    </row>
    <row r="47" spans="2:20" ht="15" customHeight="1">
      <c r="E47" s="229"/>
      <c r="J47" s="121"/>
      <c r="K47" s="121"/>
      <c r="L47" s="230" t="s">
        <v>193</v>
      </c>
      <c r="M47" s="121"/>
      <c r="O47" s="216"/>
    </row>
    <row r="48" spans="2:20" ht="15" customHeight="1" thickBot="1">
      <c r="C48" s="229"/>
      <c r="D48" s="229"/>
      <c r="E48" s="229"/>
      <c r="H48" s="116" t="s">
        <v>265</v>
      </c>
      <c r="J48" s="121"/>
      <c r="K48" s="121"/>
      <c r="L48" s="230"/>
      <c r="M48" s="121"/>
      <c r="O48" s="216"/>
    </row>
    <row r="49" spans="2:16" ht="15" customHeight="1">
      <c r="B49" s="123" t="s">
        <v>266</v>
      </c>
      <c r="C49" s="231" t="str">
        <f>+D16</f>
        <v>Jun-22</v>
      </c>
      <c r="D49" s="231" t="str">
        <f>+E16</f>
        <v>Jun-21</v>
      </c>
      <c r="E49" s="231" t="s">
        <v>196</v>
      </c>
      <c r="H49" s="142" t="s">
        <v>267</v>
      </c>
      <c r="I49" s="117" t="s">
        <v>204</v>
      </c>
      <c r="J49" s="232">
        <f>+C46</f>
        <v>40.531750000000002</v>
      </c>
      <c r="K49" s="161">
        <f>ROUND(J49/J50,4)*100</f>
        <v>10.18</v>
      </c>
      <c r="L49" s="233">
        <f>+D46</f>
        <v>52.319000000000003</v>
      </c>
      <c r="M49" s="161">
        <f>ROUND(L49/L50,4)*100</f>
        <v>13.59</v>
      </c>
      <c r="N49" s="206"/>
      <c r="O49" s="146">
        <f>ROUND((K49/M49)-1,4)</f>
        <v>-0.25090000000000001</v>
      </c>
      <c r="P49" s="147">
        <f>ROUND((J49/L49)-1,3)</f>
        <v>-0.22500000000000001</v>
      </c>
    </row>
    <row r="50" spans="2:16" ht="15" customHeight="1">
      <c r="B50" s="136" t="s">
        <v>268</v>
      </c>
      <c r="C50" s="234">
        <f>+Resultado!D5</f>
        <v>281222606</v>
      </c>
      <c r="D50" s="234">
        <f>+Resultado!E5</f>
        <v>256946925</v>
      </c>
      <c r="E50" s="234">
        <v>506458487</v>
      </c>
      <c r="F50" s="235"/>
      <c r="H50" s="117" t="s">
        <v>269</v>
      </c>
      <c r="J50" s="236">
        <v>398</v>
      </c>
      <c r="K50" s="176" t="s">
        <v>193</v>
      </c>
      <c r="L50" s="236">
        <v>385</v>
      </c>
      <c r="M50" s="176" t="s">
        <v>193</v>
      </c>
      <c r="N50" s="237"/>
      <c r="O50" s="220"/>
      <c r="P50" s="147">
        <f>ROUND((J50/L50)-1,3)</f>
        <v>3.4000000000000002E-2</v>
      </c>
    </row>
    <row r="51" spans="2:16" ht="15" customHeight="1">
      <c r="B51" s="136" t="s">
        <v>270</v>
      </c>
      <c r="C51" s="234">
        <f>+Resultado!D6</f>
        <v>-34869164</v>
      </c>
      <c r="D51" s="234">
        <f>+Resultado!E6</f>
        <v>-23909001</v>
      </c>
      <c r="E51" s="234">
        <v>-53627449</v>
      </c>
      <c r="F51" s="235"/>
      <c r="P51" s="224"/>
    </row>
    <row r="52" spans="2:16" ht="15" customHeight="1">
      <c r="B52" s="136" t="s">
        <v>271</v>
      </c>
      <c r="C52" s="234">
        <f>+Resultado!D7</f>
        <v>-30498179</v>
      </c>
      <c r="D52" s="234">
        <f>+Resultado!E7</f>
        <v>-26877876</v>
      </c>
      <c r="E52" s="234">
        <v>-55539198</v>
      </c>
      <c r="F52" s="235"/>
      <c r="J52" s="229"/>
      <c r="M52" s="238"/>
    </row>
    <row r="53" spans="2:16" ht="15" customHeight="1">
      <c r="B53" s="136" t="s">
        <v>272</v>
      </c>
      <c r="C53" s="234">
        <f>+Resultado!D8</f>
        <v>-36505882</v>
      </c>
      <c r="D53" s="234">
        <f>+Resultado!E8</f>
        <v>-33845344</v>
      </c>
      <c r="E53" s="234">
        <v>-69205148</v>
      </c>
      <c r="F53" s="235"/>
      <c r="J53" s="229"/>
    </row>
    <row r="54" spans="2:16" ht="15" customHeight="1">
      <c r="B54" s="136" t="s">
        <v>273</v>
      </c>
      <c r="C54" s="234">
        <f>+Resultado!D9</f>
        <v>0</v>
      </c>
      <c r="D54" s="234">
        <f>+Resultado!E9</f>
        <v>0</v>
      </c>
      <c r="E54" s="234">
        <v>0</v>
      </c>
      <c r="F54" s="235"/>
      <c r="P54" s="239"/>
    </row>
    <row r="55" spans="2:16" ht="15" customHeight="1">
      <c r="B55" s="136" t="s">
        <v>274</v>
      </c>
      <c r="C55" s="234">
        <f>+Resultado!D10</f>
        <v>-67399147</v>
      </c>
      <c r="D55" s="234">
        <f>+Resultado!E10</f>
        <v>-67535877</v>
      </c>
      <c r="E55" s="234">
        <v>-135905388</v>
      </c>
      <c r="F55" s="235"/>
    </row>
    <row r="56" spans="2:16" ht="15" customHeight="1">
      <c r="B56" s="130" t="s">
        <v>275</v>
      </c>
      <c r="C56" s="240">
        <f>SUM(C50:C55)</f>
        <v>111950234</v>
      </c>
      <c r="D56" s="240">
        <f>SUM(D50:D55)</f>
        <v>104778827</v>
      </c>
      <c r="E56" s="240">
        <v>192181304</v>
      </c>
      <c r="F56" s="235"/>
      <c r="H56" s="241"/>
      <c r="I56" s="242"/>
      <c r="J56" s="243"/>
      <c r="K56" s="243"/>
      <c r="L56" s="243"/>
      <c r="M56" s="243"/>
      <c r="O56" s="244"/>
      <c r="P56" s="245"/>
    </row>
    <row r="57" spans="2:16" ht="15" customHeight="1">
      <c r="B57" s="136" t="s">
        <v>276</v>
      </c>
      <c r="C57" s="234">
        <f>+Resultado!D13</f>
        <v>6966710</v>
      </c>
      <c r="D57" s="234">
        <f>+Resultado!E13</f>
        <v>1612537</v>
      </c>
      <c r="E57" s="234">
        <v>5082667</v>
      </c>
      <c r="F57" s="235"/>
      <c r="H57" s="241"/>
      <c r="I57" s="242"/>
      <c r="J57" s="243"/>
      <c r="K57" s="243"/>
      <c r="L57" s="243"/>
      <c r="M57" s="243"/>
      <c r="O57" s="246"/>
    </row>
    <row r="58" spans="2:16" ht="15" customHeight="1">
      <c r="B58" s="136" t="s">
        <v>277</v>
      </c>
      <c r="C58" s="234">
        <f>+Resultado!D14</f>
        <v>-15977703</v>
      </c>
      <c r="D58" s="234">
        <f>+Resultado!E14</f>
        <v>-13555311</v>
      </c>
      <c r="E58" s="234">
        <v>-27866277</v>
      </c>
      <c r="F58" s="235"/>
      <c r="H58" s="242"/>
      <c r="I58" s="242"/>
      <c r="J58" s="243"/>
      <c r="K58" s="247"/>
      <c r="L58" s="243"/>
      <c r="M58" s="247"/>
      <c r="N58" s="206"/>
      <c r="O58" s="248"/>
      <c r="P58" s="249"/>
    </row>
    <row r="59" spans="2:16" ht="15" customHeight="1">
      <c r="B59" s="136" t="s">
        <v>278</v>
      </c>
      <c r="C59" s="234">
        <f>+Resultado!D15</f>
        <v>-1822083</v>
      </c>
      <c r="D59" s="234">
        <f>+Resultado!E15</f>
        <v>211841</v>
      </c>
      <c r="E59" s="234">
        <v>811363</v>
      </c>
      <c r="F59" s="235"/>
      <c r="H59" s="242"/>
      <c r="I59" s="242"/>
      <c r="J59" s="243"/>
      <c r="K59" s="250"/>
      <c r="L59" s="243"/>
      <c r="M59" s="250"/>
      <c r="O59" s="246"/>
      <c r="P59" s="249"/>
    </row>
    <row r="60" spans="2:16" ht="15" customHeight="1">
      <c r="B60" s="136" t="s">
        <v>279</v>
      </c>
      <c r="C60" s="234">
        <f>+Resultado!D16</f>
        <v>-59234526</v>
      </c>
      <c r="D60" s="234">
        <f>+Resultado!E16</f>
        <v>-18580536</v>
      </c>
      <c r="E60" s="234">
        <v>-54969179</v>
      </c>
      <c r="F60" s="235"/>
      <c r="H60" s="241"/>
      <c r="I60" s="242"/>
      <c r="J60" s="243"/>
      <c r="K60" s="243"/>
      <c r="L60" s="243"/>
      <c r="M60" s="243"/>
      <c r="O60" s="246"/>
    </row>
    <row r="61" spans="2:16" ht="15" customHeight="1">
      <c r="B61" s="130" t="s">
        <v>280</v>
      </c>
      <c r="C61" s="240">
        <f>SUM(C57:C60)</f>
        <v>-70067602</v>
      </c>
      <c r="D61" s="240">
        <f>SUM(D57:D60)</f>
        <v>-30311469</v>
      </c>
      <c r="E61" s="240">
        <v>-76941426</v>
      </c>
      <c r="F61" s="235"/>
      <c r="H61" s="242"/>
      <c r="I61" s="251"/>
      <c r="J61" s="243"/>
      <c r="K61" s="247"/>
      <c r="L61" s="243"/>
      <c r="M61" s="247"/>
      <c r="N61" s="252"/>
      <c r="O61" s="248"/>
      <c r="P61" s="249"/>
    </row>
    <row r="62" spans="2:16" ht="15" customHeight="1">
      <c r="B62" s="136" t="s">
        <v>281</v>
      </c>
      <c r="C62" s="234">
        <f>+Resultado!D11</f>
        <v>-1188593</v>
      </c>
      <c r="D62" s="234">
        <f>+Resultado!E11</f>
        <v>-2036737</v>
      </c>
      <c r="E62" s="234">
        <v>3636892</v>
      </c>
      <c r="F62" s="235"/>
      <c r="H62" s="242"/>
      <c r="I62" s="242"/>
      <c r="J62" s="243"/>
      <c r="K62" s="250"/>
      <c r="L62" s="243"/>
      <c r="M62" s="250"/>
      <c r="N62" s="121"/>
      <c r="O62" s="246"/>
      <c r="P62" s="249"/>
    </row>
    <row r="63" spans="2:16" ht="15" customHeight="1">
      <c r="B63" s="136" t="s">
        <v>282</v>
      </c>
      <c r="C63" s="234"/>
      <c r="D63" s="234"/>
      <c r="E63" s="234"/>
      <c r="F63" s="235"/>
      <c r="H63" s="116"/>
      <c r="J63" s="121"/>
      <c r="K63" s="121"/>
      <c r="L63" s="121"/>
      <c r="M63" s="121"/>
      <c r="O63" s="246"/>
    </row>
    <row r="64" spans="2:16" ht="15" customHeight="1">
      <c r="B64" s="130" t="s">
        <v>283</v>
      </c>
      <c r="C64" s="240">
        <f>+C56+C61+C62+C63</f>
        <v>40694039</v>
      </c>
      <c r="D64" s="240">
        <f>+D56+D61+D62+D63</f>
        <v>72430621</v>
      </c>
      <c r="E64" s="240">
        <v>118876770</v>
      </c>
      <c r="F64" s="235"/>
      <c r="L64" s="253"/>
    </row>
    <row r="65" spans="2:13" ht="15" customHeight="1">
      <c r="B65" s="136" t="s">
        <v>284</v>
      </c>
      <c r="C65" s="234">
        <f>+Resultado!D19</f>
        <v>2496350</v>
      </c>
      <c r="D65" s="234">
        <f>+Resultado!E19</f>
        <v>-14699913</v>
      </c>
      <c r="E65" s="234">
        <v>-19665778</v>
      </c>
      <c r="F65" s="235"/>
      <c r="K65" s="254"/>
      <c r="M65" s="254"/>
    </row>
    <row r="66" spans="2:13" ht="15" customHeight="1">
      <c r="B66" s="136" t="s">
        <v>285</v>
      </c>
      <c r="C66" s="234">
        <f>+Resultado!D21</f>
        <v>0</v>
      </c>
      <c r="D66" s="234">
        <f>+Resultado!E21</f>
        <v>0</v>
      </c>
      <c r="E66" s="234">
        <v>0</v>
      </c>
      <c r="F66" s="235"/>
      <c r="K66" s="254"/>
      <c r="M66" s="254"/>
    </row>
    <row r="67" spans="2:13" ht="15" customHeight="1">
      <c r="B67" s="136" t="s">
        <v>125</v>
      </c>
      <c r="C67" s="234">
        <f>+Resultado!D26</f>
        <v>21806313</v>
      </c>
      <c r="D67" s="234">
        <f>+Resultado!E26</f>
        <v>29086893</v>
      </c>
      <c r="E67" s="234">
        <v>50221270</v>
      </c>
      <c r="F67" s="235"/>
    </row>
    <row r="68" spans="2:13" ht="15" customHeight="1">
      <c r="B68" s="255" t="s">
        <v>286</v>
      </c>
      <c r="C68" s="256">
        <f>+C64+C65+C66</f>
        <v>43190389</v>
      </c>
      <c r="D68" s="256">
        <f>+D64+D65+D66</f>
        <v>57730708</v>
      </c>
      <c r="E68" s="256">
        <v>99210992</v>
      </c>
      <c r="F68" s="235"/>
    </row>
    <row r="69" spans="2:13" ht="15" customHeight="1" thickBot="1">
      <c r="B69" s="257" t="s">
        <v>287</v>
      </c>
      <c r="C69" s="258">
        <f>+C68-C67</f>
        <v>21384076</v>
      </c>
      <c r="D69" s="258">
        <f t="shared" ref="D69" si="1">+D68-D67</f>
        <v>28643815</v>
      </c>
      <c r="E69" s="258">
        <v>48989722</v>
      </c>
      <c r="F69" s="235"/>
    </row>
    <row r="70" spans="2:13" ht="15" customHeight="1">
      <c r="D70" s="235"/>
    </row>
    <row r="71" spans="2:13" ht="15" customHeight="1">
      <c r="D71" s="235"/>
    </row>
    <row r="72" spans="2:13" ht="15" customHeight="1">
      <c r="D72" s="235"/>
    </row>
    <row r="73" spans="2:13" ht="15" customHeight="1">
      <c r="C73" s="259"/>
    </row>
    <row r="76" spans="2:13" ht="15" customHeight="1">
      <c r="C76" s="235"/>
    </row>
    <row r="100" spans="10:14" ht="15" customHeight="1">
      <c r="J100" s="260"/>
      <c r="K100" s="260"/>
      <c r="M100" s="260"/>
      <c r="N100" s="260"/>
    </row>
    <row r="101" spans="10:14" ht="15" customHeight="1">
      <c r="J101" s="260"/>
      <c r="K101" s="260"/>
      <c r="M101" s="260"/>
      <c r="N101" s="260"/>
    </row>
    <row r="102" spans="10:14" ht="15" customHeight="1">
      <c r="J102" s="260"/>
      <c r="K102" s="260"/>
      <c r="M102" s="260"/>
      <c r="N102" s="260"/>
    </row>
    <row r="103" spans="10:14" ht="15" customHeight="1">
      <c r="J103" s="260"/>
      <c r="K103" s="260"/>
      <c r="M103" s="260"/>
      <c r="N103" s="260"/>
    </row>
    <row r="104" spans="10:14" ht="15" customHeight="1">
      <c r="J104" s="260"/>
      <c r="K104" s="260"/>
      <c r="M104" s="260"/>
      <c r="N104" s="260"/>
    </row>
    <row r="105" spans="10:14" ht="15" customHeight="1">
      <c r="J105" s="260"/>
      <c r="K105" s="260"/>
      <c r="M105" s="260"/>
      <c r="N105" s="260"/>
    </row>
    <row r="106" spans="10:14" ht="15" customHeight="1">
      <c r="J106" s="260"/>
      <c r="K106" s="260"/>
      <c r="L106" s="260"/>
      <c r="M106" s="260"/>
      <c r="N106" s="260"/>
    </row>
    <row r="107" spans="10:14" ht="15" customHeight="1">
      <c r="J107" s="260"/>
      <c r="K107" s="260"/>
      <c r="L107" s="260"/>
      <c r="M107" s="260"/>
      <c r="N107" s="260"/>
    </row>
    <row r="108" spans="10:14" ht="15" customHeight="1">
      <c r="J108" s="260"/>
      <c r="K108" s="260"/>
      <c r="L108" s="260"/>
      <c r="M108" s="260"/>
    </row>
    <row r="109" spans="10:14" ht="15" customHeight="1">
      <c r="J109" s="260"/>
      <c r="K109" s="260"/>
      <c r="L109" s="260"/>
      <c r="M109" s="260"/>
    </row>
    <row r="110" spans="10:14" ht="15" customHeight="1">
      <c r="J110" s="260"/>
      <c r="K110" s="260"/>
      <c r="L110" s="260"/>
      <c r="M110" s="260"/>
    </row>
    <row r="111" spans="10:14" ht="15" customHeight="1">
      <c r="J111" s="260"/>
      <c r="K111" s="260"/>
      <c r="L111" s="260"/>
      <c r="M111" s="260"/>
    </row>
    <row r="112" spans="10:14" ht="15" customHeight="1">
      <c r="J112" s="260"/>
      <c r="K112" s="260"/>
      <c r="L112" s="260"/>
      <c r="M112" s="260"/>
    </row>
    <row r="113" spans="10:13" ht="15" customHeight="1">
      <c r="J113" s="260"/>
      <c r="K113" s="260"/>
      <c r="L113" s="260"/>
      <c r="M113" s="260"/>
    </row>
    <row r="114" spans="10:13" ht="15" customHeight="1">
      <c r="J114" s="260"/>
      <c r="K114" s="260"/>
      <c r="L114" s="260"/>
      <c r="M114" s="260"/>
    </row>
    <row r="115" spans="10:13" ht="15" customHeight="1">
      <c r="J115" s="260"/>
      <c r="K115" s="260"/>
      <c r="L115" s="260"/>
      <c r="M115" s="260"/>
    </row>
    <row r="116" spans="10:13" ht="15" customHeight="1">
      <c r="J116" s="260"/>
      <c r="K116" s="260"/>
      <c r="L116" s="260"/>
      <c r="M116" s="260"/>
    </row>
    <row r="117" spans="10:13" ht="15" customHeight="1">
      <c r="J117" s="260"/>
      <c r="K117" s="260"/>
      <c r="L117" s="260"/>
      <c r="M117" s="260"/>
    </row>
    <row r="118" spans="10:13" ht="15" customHeight="1">
      <c r="J118" s="260"/>
      <c r="K118" s="260"/>
      <c r="L118" s="260"/>
      <c r="M118" s="260"/>
    </row>
    <row r="119" spans="10:13" ht="15" customHeight="1">
      <c r="J119" s="260"/>
      <c r="K119" s="260"/>
      <c r="L119" s="260"/>
      <c r="M119" s="260"/>
    </row>
    <row r="120" spans="10:13" ht="15" customHeight="1">
      <c r="J120" s="260"/>
      <c r="K120" s="260"/>
      <c r="L120" s="260"/>
      <c r="M120" s="260"/>
    </row>
    <row r="121" spans="10:13" ht="15" customHeight="1">
      <c r="J121" s="260"/>
      <c r="K121" s="260"/>
      <c r="L121" s="260"/>
      <c r="M121" s="260"/>
    </row>
    <row r="122" spans="10:13" ht="15" customHeight="1">
      <c r="J122" s="260"/>
      <c r="K122" s="260"/>
      <c r="M122" s="260"/>
    </row>
    <row r="123" spans="10:13" ht="15" customHeight="1">
      <c r="J123" s="260"/>
      <c r="K123" s="260"/>
      <c r="L123" s="260"/>
      <c r="M123" s="260"/>
    </row>
    <row r="124" spans="10:13" ht="15" customHeight="1">
      <c r="J124" s="260"/>
      <c r="K124" s="260"/>
      <c r="L124" s="260"/>
      <c r="M124" s="260"/>
    </row>
    <row r="125" spans="10:13" ht="15" customHeight="1">
      <c r="J125" s="260"/>
      <c r="K125" s="260"/>
      <c r="L125" s="260"/>
      <c r="M125" s="260"/>
    </row>
    <row r="126" spans="10:13" ht="15" customHeight="1">
      <c r="J126" s="260"/>
      <c r="K126" s="260"/>
      <c r="L126" s="260"/>
      <c r="M126" s="260"/>
    </row>
    <row r="127" spans="10:13" ht="15" customHeight="1">
      <c r="J127" s="260"/>
      <c r="K127" s="260"/>
      <c r="L127" s="260"/>
      <c r="M127" s="260"/>
    </row>
    <row r="128" spans="10:13" ht="15" customHeight="1">
      <c r="J128" s="260"/>
      <c r="K128" s="260"/>
      <c r="L128" s="260"/>
      <c r="M128" s="260"/>
    </row>
    <row r="129" spans="10:13" ht="15" customHeight="1">
      <c r="J129" s="260"/>
      <c r="K129" s="260"/>
      <c r="L129" s="260"/>
      <c r="M129" s="260"/>
    </row>
    <row r="130" spans="10:13" ht="15" customHeight="1">
      <c r="J130" s="260"/>
      <c r="K130" s="260"/>
      <c r="M130" s="260"/>
    </row>
    <row r="131" spans="10:13" ht="15" customHeight="1">
      <c r="J131" s="260"/>
      <c r="K131" s="260"/>
      <c r="M131" s="260"/>
    </row>
    <row r="132" spans="10:13" ht="15" customHeight="1">
      <c r="J132" s="260"/>
      <c r="K132" s="260"/>
      <c r="M132" s="260"/>
    </row>
    <row r="133" spans="10:13" ht="15" customHeight="1">
      <c r="J133" s="260"/>
      <c r="K133" s="260"/>
      <c r="M133" s="260"/>
    </row>
    <row r="134" spans="10:13" ht="15" customHeight="1">
      <c r="J134" s="260"/>
      <c r="K134" s="260"/>
      <c r="M134" s="260"/>
    </row>
    <row r="135" spans="10:13" ht="15" customHeight="1">
      <c r="J135" s="260"/>
      <c r="K135" s="260"/>
      <c r="M135" s="260"/>
    </row>
    <row r="136" spans="10:13" ht="15" customHeight="1">
      <c r="J136" s="260"/>
      <c r="K136" s="260"/>
      <c r="M136" s="260"/>
    </row>
    <row r="137" spans="10:13" ht="15" customHeight="1">
      <c r="J137" s="260"/>
      <c r="K137" s="260"/>
      <c r="M137" s="260"/>
    </row>
    <row r="138" spans="10:13" ht="15" customHeight="1">
      <c r="J138" s="260"/>
      <c r="K138" s="260"/>
      <c r="M138" s="260"/>
    </row>
    <row r="139" spans="10:13" ht="15" customHeight="1">
      <c r="J139" s="260"/>
      <c r="K139" s="260"/>
      <c r="M139" s="260"/>
    </row>
    <row r="140" spans="10:13" ht="15" customHeight="1">
      <c r="J140" s="260"/>
      <c r="K140" s="260"/>
      <c r="M140" s="260"/>
    </row>
    <row r="141" spans="10:13" ht="15" customHeight="1">
      <c r="J141" s="260"/>
      <c r="K141" s="260"/>
      <c r="M141" s="260"/>
    </row>
    <row r="142" spans="10:13" ht="15" customHeight="1">
      <c r="J142" s="260"/>
      <c r="K142" s="260"/>
      <c r="M142" s="260"/>
    </row>
    <row r="143" spans="10:13" ht="15" customHeight="1">
      <c r="J143" s="260"/>
      <c r="K143" s="260"/>
      <c r="M143" s="260"/>
    </row>
    <row r="144" spans="10:13" ht="15" customHeight="1">
      <c r="J144" s="260"/>
      <c r="K144" s="260"/>
      <c r="M144" s="260"/>
    </row>
    <row r="145" spans="10:13" ht="15" customHeight="1">
      <c r="J145" s="260"/>
      <c r="K145" s="260"/>
      <c r="M145" s="260"/>
    </row>
    <row r="146" spans="10:13" ht="15" customHeight="1">
      <c r="J146" s="260"/>
      <c r="K146" s="260"/>
      <c r="M146" s="260"/>
    </row>
    <row r="147" spans="10:13" ht="15" customHeight="1">
      <c r="J147" s="260"/>
      <c r="K147" s="260"/>
      <c r="M147" s="260"/>
    </row>
    <row r="148" spans="10:13" ht="15" customHeight="1">
      <c r="J148" s="220"/>
      <c r="K148" s="260"/>
      <c r="M148" s="260"/>
    </row>
    <row r="149" spans="10:13" ht="15" customHeight="1">
      <c r="J149" s="260"/>
      <c r="K149" s="260"/>
      <c r="M149" s="260"/>
    </row>
    <row r="150" spans="10:13" ht="15" customHeight="1">
      <c r="J150" s="260"/>
      <c r="K150" s="260"/>
      <c r="M150" s="260"/>
    </row>
    <row r="151" spans="10:13" ht="15" customHeight="1">
      <c r="J151" s="260"/>
      <c r="K151" s="260"/>
      <c r="M151" s="260"/>
    </row>
    <row r="152" spans="10:13" ht="15" customHeight="1">
      <c r="J152" s="260"/>
      <c r="K152" s="260"/>
      <c r="M152" s="260"/>
    </row>
    <row r="153" spans="10:13" ht="15" customHeight="1">
      <c r="J153" s="260"/>
      <c r="K153" s="260"/>
      <c r="L153" s="216"/>
      <c r="M153" s="260"/>
    </row>
    <row r="154" spans="10:13" ht="15" customHeight="1">
      <c r="J154" s="260"/>
      <c r="K154" s="260"/>
      <c r="L154" s="216"/>
      <c r="M154" s="260"/>
    </row>
    <row r="155" spans="10:13" ht="15" customHeight="1">
      <c r="J155" s="260"/>
      <c r="K155" s="260"/>
      <c r="L155" s="216"/>
      <c r="M155" s="260"/>
    </row>
    <row r="156" spans="10:13" ht="15" customHeight="1">
      <c r="J156" s="260"/>
      <c r="K156" s="260"/>
      <c r="L156" s="216"/>
      <c r="M156" s="260"/>
    </row>
    <row r="157" spans="10:13" ht="15" customHeight="1">
      <c r="J157" s="260"/>
      <c r="K157" s="260"/>
      <c r="L157" s="216"/>
      <c r="M157" s="260"/>
    </row>
    <row r="158" spans="10:13" ht="15" customHeight="1">
      <c r="J158" s="260"/>
      <c r="K158" s="260"/>
      <c r="L158" s="216"/>
      <c r="M158" s="260"/>
    </row>
    <row r="159" spans="10:13" ht="15" customHeight="1">
      <c r="J159" s="260"/>
      <c r="K159" s="260"/>
      <c r="L159" s="216"/>
      <c r="M159" s="260"/>
    </row>
    <row r="160" spans="10:13" ht="15" customHeight="1">
      <c r="J160" s="260"/>
      <c r="K160" s="260"/>
      <c r="L160" s="216"/>
      <c r="M160" s="260"/>
    </row>
    <row r="161" spans="12:12" ht="15" customHeight="1">
      <c r="L161" s="216"/>
    </row>
    <row r="162" spans="12:12" ht="15" customHeight="1">
      <c r="L162" s="216"/>
    </row>
    <row r="163" spans="12:12" ht="15" customHeight="1">
      <c r="L163" s="216"/>
    </row>
    <row r="164" spans="12:12" ht="15" customHeight="1">
      <c r="L164" s="216"/>
    </row>
    <row r="165" spans="12:12" ht="15" customHeight="1">
      <c r="L165" s="216"/>
    </row>
    <row r="184" spans="10:13" ht="15" customHeight="1">
      <c r="L184" s="119"/>
    </row>
    <row r="186" spans="10:13" ht="15" customHeight="1">
      <c r="J186" s="260"/>
      <c r="K186" s="260"/>
      <c r="L186" s="260"/>
      <c r="M186" s="260"/>
    </row>
    <row r="187" spans="10:13" ht="15" customHeight="1">
      <c r="J187" s="260"/>
      <c r="K187" s="260"/>
      <c r="L187" s="260"/>
      <c r="M187" s="260"/>
    </row>
    <row r="188" spans="10:13" ht="15" customHeight="1">
      <c r="J188" s="260"/>
      <c r="K188" s="260"/>
      <c r="L188" s="260"/>
      <c r="M188" s="260"/>
    </row>
    <row r="189" spans="10:13" ht="15" customHeight="1">
      <c r="J189" s="260"/>
      <c r="K189" s="260"/>
      <c r="L189" s="260"/>
      <c r="M189" s="260"/>
    </row>
    <row r="190" spans="10:13" ht="15" customHeight="1">
      <c r="J190" s="260"/>
      <c r="K190" s="260"/>
      <c r="L190" s="260"/>
      <c r="M190" s="260"/>
    </row>
    <row r="191" spans="10:13" ht="15" customHeight="1">
      <c r="J191" s="260"/>
      <c r="K191" s="260"/>
      <c r="L191" s="260"/>
      <c r="M191" s="260"/>
    </row>
    <row r="192" spans="10:13" ht="15" customHeight="1">
      <c r="J192" s="260"/>
      <c r="K192" s="260"/>
      <c r="L192" s="260"/>
      <c r="M192" s="260"/>
    </row>
    <row r="193" spans="10:13" ht="15" customHeight="1">
      <c r="J193" s="260"/>
      <c r="K193" s="260"/>
      <c r="L193" s="260"/>
      <c r="M193" s="260"/>
    </row>
    <row r="194" spans="10:13" ht="15" customHeight="1">
      <c r="J194" s="260"/>
      <c r="K194" s="260"/>
      <c r="L194" s="260"/>
      <c r="M194" s="260"/>
    </row>
    <row r="195" spans="10:13" ht="15" customHeight="1">
      <c r="J195" s="260"/>
      <c r="K195" s="260"/>
      <c r="L195" s="260"/>
      <c r="M195" s="260"/>
    </row>
    <row r="196" spans="10:13" ht="15" customHeight="1">
      <c r="J196" s="260"/>
      <c r="K196" s="260"/>
      <c r="M196" s="260"/>
    </row>
    <row r="197" spans="10:13" ht="15" customHeight="1">
      <c r="J197" s="260"/>
      <c r="K197" s="260"/>
      <c r="M197" s="260"/>
    </row>
    <row r="198" spans="10:13" ht="15" customHeight="1">
      <c r="J198" s="260"/>
      <c r="K198" s="260"/>
      <c r="M198" s="260"/>
    </row>
    <row r="199" spans="10:13" ht="15" customHeight="1">
      <c r="J199" s="260"/>
      <c r="K199" s="260"/>
      <c r="M199" s="260"/>
    </row>
    <row r="200" spans="10:13" ht="15" customHeight="1">
      <c r="J200" s="260"/>
      <c r="K200" s="260"/>
      <c r="M200" s="260"/>
    </row>
    <row r="201" spans="10:13" ht="15" customHeight="1">
      <c r="J201" s="260"/>
      <c r="K201" s="260"/>
      <c r="M201" s="260"/>
    </row>
    <row r="202" spans="10:13" ht="15" customHeight="1">
      <c r="J202" s="260"/>
      <c r="K202" s="260"/>
      <c r="M202" s="260"/>
    </row>
    <row r="203" spans="10:13" ht="15" customHeight="1">
      <c r="J203" s="260"/>
      <c r="K203" s="260"/>
      <c r="M203" s="260"/>
    </row>
    <row r="204" spans="10:13" ht="15" customHeight="1">
      <c r="J204" s="260"/>
      <c r="K204" s="260"/>
      <c r="M204" s="260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000066"/>
  </sheetPr>
  <dimension ref="A2:J69"/>
  <sheetViews>
    <sheetView showGridLines="0" zoomScale="90" zoomScaleNormal="90" workbookViewId="0">
      <selection activeCell="C58" sqref="C58"/>
    </sheetView>
  </sheetViews>
  <sheetFormatPr defaultColWidth="11.42578125" defaultRowHeight="12.95"/>
  <cols>
    <col min="1" max="1" width="10.42578125" style="96" bestFit="1" customWidth="1"/>
    <col min="2" max="2" width="56.7109375" style="107" customWidth="1"/>
    <col min="3" max="3" width="7.7109375" style="107" customWidth="1"/>
    <col min="4" max="5" width="14.42578125" style="107" customWidth="1"/>
    <col min="6" max="6" width="8" style="107" customWidth="1"/>
    <col min="7" max="7" width="12.5703125" style="266" bestFit="1" customWidth="1"/>
    <col min="8" max="8" width="11.42578125" style="271"/>
    <col min="9" max="9" width="11.42578125" style="96"/>
    <col min="10" max="10" width="13" style="96" bestFit="1" customWidth="1"/>
    <col min="11" max="16384" width="11.42578125" style="96"/>
  </cols>
  <sheetData>
    <row r="2" spans="1:9" ht="21.75" customHeight="1" thickBot="1"/>
    <row r="3" spans="1:9" s="88" customFormat="1" ht="18" customHeight="1">
      <c r="A3" s="106"/>
      <c r="B3" s="486" t="s">
        <v>288</v>
      </c>
      <c r="C3" s="488" t="s">
        <v>289</v>
      </c>
      <c r="D3" s="356">
        <f>+[8]Pasivo!$D$2</f>
        <v>44742</v>
      </c>
      <c r="E3" s="356">
        <f>+[3]Activo!$E$2</f>
        <v>44561</v>
      </c>
      <c r="F3" s="108"/>
      <c r="G3" s="491" t="s">
        <v>290</v>
      </c>
      <c r="H3" s="492"/>
    </row>
    <row r="4" spans="1:9" s="88" customFormat="1" ht="18" customHeight="1">
      <c r="A4" s="89"/>
      <c r="B4" s="487"/>
      <c r="C4" s="488"/>
      <c r="D4" s="357" t="s">
        <v>115</v>
      </c>
      <c r="E4" s="357" t="s">
        <v>115</v>
      </c>
      <c r="F4" s="109"/>
      <c r="G4" s="279" t="s">
        <v>115</v>
      </c>
      <c r="H4" s="280" t="s">
        <v>187</v>
      </c>
    </row>
    <row r="5" spans="1:9" s="88" customFormat="1" ht="21" customHeight="1">
      <c r="A5" s="89"/>
      <c r="B5" s="455" t="s">
        <v>291</v>
      </c>
      <c r="C5" s="61"/>
      <c r="D5" s="62"/>
      <c r="E5" s="62"/>
      <c r="F5" s="110"/>
      <c r="G5" s="267"/>
      <c r="H5" s="281"/>
    </row>
    <row r="6" spans="1:9" s="88" customFormat="1" ht="21" customHeight="1">
      <c r="A6" s="89"/>
      <c r="B6" s="456" t="s">
        <v>292</v>
      </c>
      <c r="C6" s="61">
        <v>4</v>
      </c>
      <c r="D6" s="272">
        <f>+[8]Activo!D5</f>
        <v>148442598</v>
      </c>
      <c r="E6" s="272">
        <f>+[8]Activo!E5</f>
        <v>164558880</v>
      </c>
      <c r="F6" s="111"/>
      <c r="G6" s="267">
        <f>ROUND(+(D6-E6),0)</f>
        <v>-16116282</v>
      </c>
      <c r="H6" s="281">
        <f>IFERROR(G6/E6,1)</f>
        <v>-9.7936264515169277E-2</v>
      </c>
    </row>
    <row r="7" spans="1:9" s="88" customFormat="1" ht="21" customHeight="1">
      <c r="A7" s="89"/>
      <c r="B7" s="457" t="s">
        <v>293</v>
      </c>
      <c r="C7" s="359"/>
      <c r="D7" s="272">
        <f>+[8]Activo!D6</f>
        <v>0</v>
      </c>
      <c r="E7" s="272">
        <f>+[8]Activo!E6</f>
        <v>0</v>
      </c>
      <c r="F7" s="111"/>
      <c r="G7" s="267">
        <f t="shared" ref="G7:G12" si="0">ROUND(+(D7-E7),0)</f>
        <v>0</v>
      </c>
      <c r="H7" s="281">
        <f t="shared" ref="H7:H54" si="1">IFERROR(G7/E7,1)</f>
        <v>1</v>
      </c>
    </row>
    <row r="8" spans="1:9" s="88" customFormat="1" ht="21" customHeight="1">
      <c r="A8" s="89"/>
      <c r="B8" s="456" t="s">
        <v>294</v>
      </c>
      <c r="C8" s="61">
        <v>8</v>
      </c>
      <c r="D8" s="272">
        <f>+[8]Activo!D7</f>
        <v>3569972</v>
      </c>
      <c r="E8" s="272">
        <f>+[8]Activo!E7</f>
        <v>4997004</v>
      </c>
      <c r="F8" s="111"/>
      <c r="G8" s="267">
        <f t="shared" si="0"/>
        <v>-1427032</v>
      </c>
      <c r="H8" s="281">
        <f t="shared" si="1"/>
        <v>-0.28557751804881487</v>
      </c>
      <c r="I8" s="270"/>
    </row>
    <row r="9" spans="1:9" s="88" customFormat="1" ht="21" customHeight="1">
      <c r="A9" s="89"/>
      <c r="B9" s="456" t="s">
        <v>295</v>
      </c>
      <c r="C9" s="64">
        <v>5</v>
      </c>
      <c r="D9" s="272">
        <f>+[8]Activo!D8</f>
        <v>101081164</v>
      </c>
      <c r="E9" s="272">
        <f>+[8]Activo!E8</f>
        <v>101104669</v>
      </c>
      <c r="F9" s="111"/>
      <c r="G9" s="267">
        <f t="shared" si="0"/>
        <v>-23505</v>
      </c>
      <c r="H9" s="281">
        <f t="shared" si="1"/>
        <v>-2.3248184512626217E-4</v>
      </c>
    </row>
    <row r="10" spans="1:9" s="88" customFormat="1" ht="21" customHeight="1">
      <c r="A10" s="89"/>
      <c r="B10" s="456" t="s">
        <v>296</v>
      </c>
      <c r="C10" s="64">
        <v>6</v>
      </c>
      <c r="D10" s="272">
        <f>+[8]Activo!D9</f>
        <v>27645</v>
      </c>
      <c r="E10" s="272">
        <f>+[8]Activo!E9</f>
        <v>23088</v>
      </c>
      <c r="F10" s="111"/>
      <c r="G10" s="267">
        <f t="shared" si="0"/>
        <v>4557</v>
      </c>
      <c r="H10" s="281">
        <f t="shared" si="1"/>
        <v>0.19737525987525986</v>
      </c>
    </row>
    <row r="11" spans="1:9" s="88" customFormat="1" ht="21" customHeight="1">
      <c r="A11" s="89"/>
      <c r="B11" s="456" t="s">
        <v>297</v>
      </c>
      <c r="C11" s="64">
        <v>7</v>
      </c>
      <c r="D11" s="272">
        <f>+[8]Activo!D10</f>
        <v>11281243</v>
      </c>
      <c r="E11" s="272">
        <f>+[8]Activo!E10</f>
        <v>5185858</v>
      </c>
      <c r="F11" s="111"/>
      <c r="G11" s="267">
        <f t="shared" si="0"/>
        <v>6095385</v>
      </c>
      <c r="H11" s="281">
        <f t="shared" si="1"/>
        <v>1.1753860209824487</v>
      </c>
    </row>
    <row r="12" spans="1:9" s="88" customFormat="1" ht="21" customHeight="1" thickBot="1">
      <c r="A12" s="89"/>
      <c r="B12" s="456" t="s">
        <v>298</v>
      </c>
      <c r="C12" s="64">
        <f>+[9]Activo!C10</f>
        <v>7</v>
      </c>
      <c r="D12" s="272">
        <f>+[8]Activo!D11</f>
        <v>1468496</v>
      </c>
      <c r="E12" s="272">
        <f>+[8]Activo!E11</f>
        <v>9226864</v>
      </c>
      <c r="F12" s="111"/>
      <c r="G12" s="267">
        <f t="shared" si="0"/>
        <v>-7758368</v>
      </c>
      <c r="H12" s="281">
        <f t="shared" si="1"/>
        <v>-0.84084560041201428</v>
      </c>
    </row>
    <row r="13" spans="1:9" s="88" customFormat="1" ht="36" customHeight="1" thickBot="1">
      <c r="A13" s="89"/>
      <c r="B13" s="458" t="s">
        <v>299</v>
      </c>
      <c r="C13" s="355"/>
      <c r="D13" s="273">
        <f>SUM(D6:D12)</f>
        <v>265871118</v>
      </c>
      <c r="E13" s="273">
        <f>SUM(E6:E12)</f>
        <v>285096363</v>
      </c>
      <c r="F13" s="112"/>
      <c r="G13" s="282">
        <f>ROUND(+(D13-E13),0)</f>
        <v>-19225245</v>
      </c>
      <c r="H13" s="283">
        <f t="shared" si="1"/>
        <v>-6.7434199432421377E-2</v>
      </c>
    </row>
    <row r="14" spans="1:9" s="88" customFormat="1" ht="21" customHeight="1" thickBot="1">
      <c r="A14" s="89"/>
      <c r="B14" s="459" t="s">
        <v>300</v>
      </c>
      <c r="C14" s="64">
        <f>+[9]Activo!C13</f>
        <v>9</v>
      </c>
      <c r="D14" s="272">
        <f>+[8]Activo!D13</f>
        <v>7781480</v>
      </c>
      <c r="E14" s="272">
        <f>+[8]Activo!E13</f>
        <v>3414</v>
      </c>
      <c r="F14" s="111"/>
      <c r="G14" s="267"/>
      <c r="H14" s="281">
        <f t="shared" si="1"/>
        <v>0</v>
      </c>
    </row>
    <row r="15" spans="1:9" s="88" customFormat="1" ht="21" customHeight="1" thickBot="1">
      <c r="B15" s="460" t="s">
        <v>301</v>
      </c>
      <c r="C15" s="355"/>
      <c r="D15" s="274">
        <f>+D13+D14</f>
        <v>273652598</v>
      </c>
      <c r="E15" s="274">
        <f>+E13+E14</f>
        <v>285099777</v>
      </c>
      <c r="F15" s="114"/>
      <c r="G15" s="282">
        <f>ROUND(+(D15-E15),0)</f>
        <v>-11447179</v>
      </c>
      <c r="H15" s="283">
        <f t="shared" si="1"/>
        <v>-4.0151483527817701E-2</v>
      </c>
    </row>
    <row r="16" spans="1:9" s="88" customFormat="1" ht="21" customHeight="1">
      <c r="B16" s="455" t="s">
        <v>302</v>
      </c>
      <c r="C16" s="65"/>
      <c r="D16" s="275"/>
      <c r="E16" s="275"/>
      <c r="F16" s="112"/>
      <c r="G16" s="267"/>
      <c r="H16" s="281"/>
    </row>
    <row r="17" spans="1:10" s="88" customFormat="1" ht="21" customHeight="1">
      <c r="A17" s="89"/>
      <c r="B17" s="456" t="s">
        <v>293</v>
      </c>
      <c r="C17" s="64">
        <f>+[9]Activo!C16</f>
        <v>9</v>
      </c>
      <c r="D17" s="272">
        <f>+[8]Activo!D16</f>
        <v>7895863</v>
      </c>
      <c r="E17" s="272">
        <f>+[8]Activo!E16</f>
        <v>7895863</v>
      </c>
      <c r="F17" s="111"/>
      <c r="G17" s="267">
        <f t="shared" ref="G17:G26" si="2">ROUND(+(D17-E17),0)</f>
        <v>0</v>
      </c>
      <c r="H17" s="281">
        <f t="shared" si="1"/>
        <v>0</v>
      </c>
    </row>
    <row r="18" spans="1:10" s="88" customFormat="1" ht="21" customHeight="1">
      <c r="A18" s="89"/>
      <c r="B18" s="456" t="s">
        <v>294</v>
      </c>
      <c r="C18" s="64">
        <f>+[9]Activo!C17</f>
        <v>9</v>
      </c>
      <c r="D18" s="272">
        <f>+[8]Activo!D17</f>
        <v>1533251</v>
      </c>
      <c r="E18" s="272">
        <f>+[8]Activo!E17</f>
        <v>1855537</v>
      </c>
      <c r="F18" s="111"/>
      <c r="G18" s="267">
        <f t="shared" si="2"/>
        <v>-322286</v>
      </c>
      <c r="H18" s="281">
        <f t="shared" si="1"/>
        <v>-0.17368880275629103</v>
      </c>
    </row>
    <row r="19" spans="1:10" s="88" customFormat="1" ht="21" customHeight="1">
      <c r="A19" s="89"/>
      <c r="B19" s="456" t="s">
        <v>303</v>
      </c>
      <c r="C19" s="64">
        <f>+[9]Activo!C18</f>
        <v>6</v>
      </c>
      <c r="D19" s="272">
        <f>+[8]Activo!D18</f>
        <v>3352560</v>
      </c>
      <c r="E19" s="272">
        <f>+[8]Activo!E18</f>
        <v>3438247</v>
      </c>
      <c r="F19" s="111"/>
      <c r="G19" s="267">
        <f t="shared" si="2"/>
        <v>-85687</v>
      </c>
      <c r="H19" s="281">
        <f t="shared" si="1"/>
        <v>-2.4921711558244651E-2</v>
      </c>
    </row>
    <row r="20" spans="1:10" s="88" customFormat="1" ht="21" hidden="1" customHeight="1">
      <c r="A20" s="89"/>
      <c r="B20" s="358" t="s">
        <v>304</v>
      </c>
      <c r="C20" s="64"/>
      <c r="D20" s="272">
        <f>+[8]Activo!D19</f>
        <v>0</v>
      </c>
      <c r="E20" s="272">
        <f>+[8]Activo!E19</f>
        <v>0</v>
      </c>
      <c r="F20" s="111"/>
      <c r="G20" s="267"/>
      <c r="H20" s="281"/>
    </row>
    <row r="21" spans="1:10" s="88" customFormat="1" ht="21" customHeight="1">
      <c r="A21" s="89"/>
      <c r="B21" s="456" t="s">
        <v>305</v>
      </c>
      <c r="C21" s="64">
        <f>+[9]Activo!C19</f>
        <v>10</v>
      </c>
      <c r="D21" s="272">
        <f>+[8]Activo!D20</f>
        <v>231753899</v>
      </c>
      <c r="E21" s="272">
        <f>+[8]Activo!E20</f>
        <v>221481159</v>
      </c>
      <c r="F21" s="111"/>
      <c r="G21" s="267">
        <f t="shared" si="2"/>
        <v>10272740</v>
      </c>
      <c r="H21" s="281">
        <f t="shared" si="1"/>
        <v>4.6382003987978045E-2</v>
      </c>
    </row>
    <row r="22" spans="1:10" s="88" customFormat="1" ht="21" customHeight="1">
      <c r="A22" s="89"/>
      <c r="B22" s="456" t="s">
        <v>306</v>
      </c>
      <c r="C22" s="64">
        <f>+[9]Activo!C20</f>
        <v>11</v>
      </c>
      <c r="D22" s="272">
        <f>+[8]Activo!D21</f>
        <v>305171468</v>
      </c>
      <c r="E22" s="272">
        <f>+[8]Activo!E21</f>
        <v>305171468</v>
      </c>
      <c r="F22" s="111"/>
      <c r="G22" s="267">
        <f t="shared" si="2"/>
        <v>0</v>
      </c>
      <c r="H22" s="281">
        <f t="shared" si="1"/>
        <v>0</v>
      </c>
    </row>
    <row r="23" spans="1:10" s="88" customFormat="1" ht="21" customHeight="1">
      <c r="A23" s="89"/>
      <c r="B23" s="456" t="s">
        <v>307</v>
      </c>
      <c r="C23" s="64">
        <f>+[9]Activo!C21</f>
        <v>12</v>
      </c>
      <c r="D23" s="272">
        <f>+[8]Activo!D22</f>
        <v>1660688901</v>
      </c>
      <c r="E23" s="272">
        <f>+[8]Activo!E22</f>
        <v>1660159453</v>
      </c>
      <c r="F23" s="111"/>
      <c r="G23" s="267">
        <f t="shared" si="2"/>
        <v>529448</v>
      </c>
      <c r="H23" s="281">
        <f t="shared" si="1"/>
        <v>3.1891394470769552E-4</v>
      </c>
      <c r="J23" s="88">
        <f>+G23+G21</f>
        <v>10802188</v>
      </c>
    </row>
    <row r="24" spans="1:10" s="88" customFormat="1" ht="21" customHeight="1">
      <c r="A24" s="89"/>
      <c r="B24" s="456" t="s">
        <v>308</v>
      </c>
      <c r="C24" s="64"/>
      <c r="D24" s="272">
        <f>+[8]Activo!D23</f>
        <v>2267629</v>
      </c>
      <c r="E24" s="272">
        <f>+[8]Activo!E23</f>
        <v>2756851</v>
      </c>
      <c r="F24" s="111"/>
      <c r="G24" s="267">
        <f t="shared" ref="G24" si="3">ROUND(+(D24-E24),0)</f>
        <v>-489222</v>
      </c>
      <c r="H24" s="281">
        <f t="shared" ref="H24" si="4">IFERROR(G24/E24,1)</f>
        <v>-0.17745681576552377</v>
      </c>
    </row>
    <row r="25" spans="1:10" s="88" customFormat="1" ht="21" customHeight="1" thickBot="1">
      <c r="A25" s="89"/>
      <c r="B25" s="456" t="s">
        <v>309</v>
      </c>
      <c r="C25" s="64">
        <f>+[9]Activo!C22</f>
        <v>14</v>
      </c>
      <c r="D25" s="272">
        <f>+[8]Activo!D24</f>
        <v>37351467</v>
      </c>
      <c r="E25" s="272">
        <f>+[8]Activo!E24</f>
        <v>13963891</v>
      </c>
      <c r="F25" s="111"/>
      <c r="G25" s="267">
        <f t="shared" si="2"/>
        <v>23387576</v>
      </c>
      <c r="H25" s="281">
        <f t="shared" si="1"/>
        <v>1.6748609681928912</v>
      </c>
    </row>
    <row r="26" spans="1:10" s="88" customFormat="1" ht="21" customHeight="1" thickBot="1">
      <c r="B26" s="461" t="s">
        <v>310</v>
      </c>
      <c r="C26" s="355"/>
      <c r="D26" s="273">
        <f>SUM(D17:D25)</f>
        <v>2250015038</v>
      </c>
      <c r="E26" s="273">
        <f>SUM(E17:E25)</f>
        <v>2216722469</v>
      </c>
      <c r="F26" s="112"/>
      <c r="G26" s="282">
        <f t="shared" si="2"/>
        <v>33292569</v>
      </c>
      <c r="H26" s="283">
        <f t="shared" si="1"/>
        <v>1.5018825976451091E-2</v>
      </c>
    </row>
    <row r="27" spans="1:10" s="89" customFormat="1" ht="11.25" customHeight="1" thickBot="1">
      <c r="A27" s="113"/>
      <c r="B27" s="457"/>
      <c r="C27" s="64"/>
      <c r="D27" s="272"/>
      <c r="E27" s="272"/>
      <c r="F27" s="111"/>
      <c r="G27" s="267"/>
      <c r="H27" s="281"/>
    </row>
    <row r="28" spans="1:10" s="88" customFormat="1" ht="21" customHeight="1" thickBot="1">
      <c r="B28" s="462" t="s">
        <v>311</v>
      </c>
      <c r="C28" s="355"/>
      <c r="D28" s="273">
        <f>+D15+D26</f>
        <v>2523667636</v>
      </c>
      <c r="E28" s="273">
        <f>+E15+E26</f>
        <v>2501822246</v>
      </c>
      <c r="F28" s="112"/>
      <c r="G28" s="282">
        <f>ROUND(+(D28-E28),0)</f>
        <v>21845390</v>
      </c>
      <c r="H28" s="283">
        <f t="shared" si="1"/>
        <v>8.7317914112112344E-3</v>
      </c>
    </row>
    <row r="29" spans="1:10">
      <c r="B29" s="360"/>
      <c r="C29" s="361"/>
      <c r="D29" s="362"/>
      <c r="E29" s="362"/>
      <c r="F29" s="115"/>
      <c r="G29" s="269"/>
      <c r="H29" s="281"/>
    </row>
    <row r="30" spans="1:10" ht="13.5" thickBot="1">
      <c r="B30" s="360"/>
      <c r="C30" s="361"/>
      <c r="D30" s="362"/>
      <c r="E30" s="362"/>
      <c r="F30" s="115"/>
      <c r="G30" s="269"/>
      <c r="H30" s="281"/>
    </row>
    <row r="31" spans="1:10" s="88" customFormat="1" ht="20.25" customHeight="1">
      <c r="A31" s="106"/>
      <c r="B31" s="489" t="s">
        <v>312</v>
      </c>
      <c r="C31" s="488" t="s">
        <v>289</v>
      </c>
      <c r="D31" s="356">
        <f>+D3</f>
        <v>44742</v>
      </c>
      <c r="E31" s="356">
        <f>+E3</f>
        <v>44561</v>
      </c>
      <c r="G31" s="267"/>
      <c r="H31" s="281"/>
    </row>
    <row r="32" spans="1:10" s="88" customFormat="1" ht="18" customHeight="1">
      <c r="A32" s="89"/>
      <c r="B32" s="490"/>
      <c r="C32" s="488"/>
      <c r="D32" s="357" t="s">
        <v>115</v>
      </c>
      <c r="E32" s="357" t="s">
        <v>115</v>
      </c>
      <c r="G32" s="267"/>
      <c r="H32" s="281"/>
    </row>
    <row r="33" spans="1:9" s="88" customFormat="1" ht="18" customHeight="1">
      <c r="A33" s="89"/>
      <c r="B33" s="463" t="s">
        <v>208</v>
      </c>
      <c r="C33" s="66"/>
      <c r="D33" s="62"/>
      <c r="E33" s="62"/>
      <c r="G33" s="267"/>
      <c r="H33" s="281"/>
    </row>
    <row r="34" spans="1:9" s="89" customFormat="1" ht="18" customHeight="1">
      <c r="A34" s="113"/>
      <c r="B34" s="464" t="s">
        <v>313</v>
      </c>
      <c r="C34" s="64">
        <f>+[9]Pasivo!C5</f>
        <v>15</v>
      </c>
      <c r="D34" s="272">
        <f>+[8]Pasivo!D5</f>
        <v>67316176</v>
      </c>
      <c r="E34" s="272">
        <f>+[8]Pasivo!E5</f>
        <v>69023789</v>
      </c>
      <c r="F34" s="88"/>
      <c r="G34" s="267">
        <f t="shared" ref="G34:G42" si="5">ROUND(+(D34-E34),0)</f>
        <v>-1707613</v>
      </c>
      <c r="H34" s="281">
        <f t="shared" si="1"/>
        <v>-2.4739485107083879E-2</v>
      </c>
    </row>
    <row r="35" spans="1:9" s="89" customFormat="1" ht="18" customHeight="1">
      <c r="A35" s="113"/>
      <c r="B35" s="464" t="s">
        <v>314</v>
      </c>
      <c r="C35" s="64"/>
      <c r="D35" s="272">
        <f>+[8]Pasivo!D6</f>
        <v>890119</v>
      </c>
      <c r="E35" s="272">
        <f>+[8]Pasivo!E6</f>
        <v>1183259</v>
      </c>
      <c r="F35" s="88"/>
      <c r="G35" s="267">
        <f t="shared" ref="G35" si="6">ROUND(+(D35-E35),0)</f>
        <v>-293140</v>
      </c>
      <c r="H35" s="281">
        <f t="shared" ref="H35" si="7">IFERROR(G35/E35,1)</f>
        <v>-0.24773950589008831</v>
      </c>
    </row>
    <row r="36" spans="1:9" s="89" customFormat="1" ht="18" customHeight="1">
      <c r="A36" s="113"/>
      <c r="B36" s="464" t="s">
        <v>315</v>
      </c>
      <c r="C36" s="64">
        <f>+[9]Pasivo!C6</f>
        <v>16</v>
      </c>
      <c r="D36" s="272">
        <f>+[8]Pasivo!D7</f>
        <v>123330055</v>
      </c>
      <c r="E36" s="272">
        <f>+[8]Pasivo!E7</f>
        <v>127124811</v>
      </c>
      <c r="F36" s="88"/>
      <c r="G36" s="267">
        <f t="shared" si="5"/>
        <v>-3794756</v>
      </c>
      <c r="H36" s="281">
        <f t="shared" si="1"/>
        <v>-2.985063238363438E-2</v>
      </c>
      <c r="I36" s="88"/>
    </row>
    <row r="37" spans="1:9" s="89" customFormat="1" ht="18" customHeight="1">
      <c r="A37" s="113"/>
      <c r="B37" s="464" t="s">
        <v>316</v>
      </c>
      <c r="C37" s="64">
        <f>+[9]Pasivo!C7</f>
        <v>7</v>
      </c>
      <c r="D37" s="272">
        <f>+[8]Pasivo!D8</f>
        <v>3510441</v>
      </c>
      <c r="E37" s="272">
        <f>+[8]Pasivo!E8</f>
        <v>13824302</v>
      </c>
      <c r="F37" s="88"/>
      <c r="G37" s="267">
        <f t="shared" si="5"/>
        <v>-10313861</v>
      </c>
      <c r="H37" s="281">
        <f t="shared" si="1"/>
        <v>-0.74606739638645048</v>
      </c>
    </row>
    <row r="38" spans="1:9" s="89" customFormat="1" ht="18" customHeight="1">
      <c r="A38" s="113"/>
      <c r="B38" s="464" t="s">
        <v>317</v>
      </c>
      <c r="C38" s="64">
        <f>+[9]Pasivo!C8</f>
        <v>17</v>
      </c>
      <c r="D38" s="272">
        <f>+[8]Pasivo!D9</f>
        <v>17757321</v>
      </c>
      <c r="E38" s="272">
        <f>+[8]Pasivo!E9</f>
        <v>16092663</v>
      </c>
      <c r="F38" s="88"/>
      <c r="G38" s="267">
        <f t="shared" si="5"/>
        <v>1664658</v>
      </c>
      <c r="H38" s="281">
        <f t="shared" si="1"/>
        <v>0.10344204685079157</v>
      </c>
    </row>
    <row r="39" spans="1:9" s="89" customFormat="1" ht="18" customHeight="1">
      <c r="A39" s="113"/>
      <c r="B39" s="464" t="s">
        <v>318</v>
      </c>
      <c r="C39" s="64">
        <f>+[9]Pasivo!C9</f>
        <v>17</v>
      </c>
      <c r="D39" s="272">
        <f>+[8]Pasivo!D10</f>
        <v>4674360</v>
      </c>
      <c r="E39" s="272">
        <f>+[8]Pasivo!E10</f>
        <v>380656</v>
      </c>
      <c r="F39" s="88"/>
      <c r="G39" s="267">
        <f t="shared" si="5"/>
        <v>4293704</v>
      </c>
      <c r="H39" s="281">
        <f t="shared" si="1"/>
        <v>11.279748644445379</v>
      </c>
    </row>
    <row r="40" spans="1:9" s="89" customFormat="1" ht="18" customHeight="1">
      <c r="A40" s="113"/>
      <c r="B40" s="464" t="s">
        <v>319</v>
      </c>
      <c r="C40" s="64">
        <f>+[9]Pasivo!C10</f>
        <v>18</v>
      </c>
      <c r="D40" s="272">
        <f>+[8]Pasivo!D11</f>
        <v>3423530</v>
      </c>
      <c r="E40" s="272">
        <f>+[8]Pasivo!E11</f>
        <v>6190161</v>
      </c>
      <c r="F40" s="88"/>
      <c r="G40" s="267">
        <f t="shared" si="5"/>
        <v>-2766631</v>
      </c>
      <c r="H40" s="281">
        <f t="shared" si="1"/>
        <v>-0.44694007151025633</v>
      </c>
    </row>
    <row r="41" spans="1:9" s="89" customFormat="1" ht="18" customHeight="1" thickBot="1">
      <c r="A41" s="113"/>
      <c r="B41" s="464" t="s">
        <v>320</v>
      </c>
      <c r="C41" s="64">
        <f>+[9]Pasivo!C11</f>
        <v>19</v>
      </c>
      <c r="D41" s="272">
        <f>+[8]Pasivo!D12</f>
        <v>15972032</v>
      </c>
      <c r="E41" s="272">
        <f>+[8]Pasivo!E12</f>
        <v>15317187</v>
      </c>
      <c r="F41" s="88"/>
      <c r="G41" s="267">
        <f t="shared" si="5"/>
        <v>654845</v>
      </c>
      <c r="H41" s="281">
        <f t="shared" si="1"/>
        <v>4.2752301711796038E-2</v>
      </c>
    </row>
    <row r="42" spans="1:9" s="88" customFormat="1" ht="37.5" customHeight="1" thickBot="1">
      <c r="A42" s="89"/>
      <c r="B42" s="363" t="s">
        <v>321</v>
      </c>
      <c r="C42" s="355"/>
      <c r="D42" s="273">
        <f>SUM(D34:D41)</f>
        <v>236874034</v>
      </c>
      <c r="E42" s="273">
        <f>SUM(E34:E41)</f>
        <v>249136828</v>
      </c>
      <c r="G42" s="282">
        <f t="shared" si="5"/>
        <v>-12262794</v>
      </c>
      <c r="H42" s="283">
        <f t="shared" si="1"/>
        <v>-4.9221121174425488E-2</v>
      </c>
    </row>
    <row r="43" spans="1:9" s="89" customFormat="1" ht="21.75" customHeight="1" thickBot="1">
      <c r="A43" s="113"/>
      <c r="B43" s="358" t="s">
        <v>322</v>
      </c>
      <c r="C43" s="64"/>
      <c r="D43" s="272">
        <f>+[8]Pasivo!D14</f>
        <v>0</v>
      </c>
      <c r="E43" s="272">
        <f>+[8]Pasivo!E14</f>
        <v>0</v>
      </c>
      <c r="F43" s="88"/>
      <c r="G43" s="267">
        <f t="shared" ref="G43" si="8">ROUND(+(D43-E43),0)</f>
        <v>0</v>
      </c>
      <c r="H43" s="281">
        <f t="shared" ref="H43" si="9">IFERROR(G43/E43,1)</f>
        <v>1</v>
      </c>
    </row>
    <row r="44" spans="1:9" s="88" customFormat="1" ht="21" customHeight="1" thickBot="1">
      <c r="A44" s="89"/>
      <c r="B44" s="465" t="s">
        <v>323</v>
      </c>
      <c r="C44" s="67"/>
      <c r="D44" s="273">
        <f>+D42+D43</f>
        <v>236874034</v>
      </c>
      <c r="E44" s="273">
        <f>+E42+E43</f>
        <v>249136828</v>
      </c>
      <c r="G44" s="282">
        <f>ROUND(+(D44-E44),0)</f>
        <v>-12262794</v>
      </c>
      <c r="H44" s="283">
        <f t="shared" si="1"/>
        <v>-4.9221121174425488E-2</v>
      </c>
    </row>
    <row r="45" spans="1:9" s="89" customFormat="1" ht="21" customHeight="1">
      <c r="B45" s="455" t="s">
        <v>210</v>
      </c>
      <c r="C45" s="66"/>
      <c r="D45" s="272"/>
      <c r="E45" s="272"/>
      <c r="F45" s="88"/>
      <c r="G45" s="267"/>
      <c r="H45" s="281"/>
    </row>
    <row r="46" spans="1:9" s="89" customFormat="1" ht="18" customHeight="1">
      <c r="A46" s="113"/>
      <c r="B46" s="456" t="s">
        <v>313</v>
      </c>
      <c r="C46" s="64">
        <f>+[9]Pasivo!C16</f>
        <v>16</v>
      </c>
      <c r="D46" s="272">
        <f>+[8]Pasivo!D17</f>
        <v>1119961249</v>
      </c>
      <c r="E46" s="272">
        <f>+[8]Pasivo!E17</f>
        <v>1084075622</v>
      </c>
      <c r="F46" s="88"/>
      <c r="G46" s="267">
        <f t="shared" ref="G46:G54" si="10">ROUND(+(D46-E46),0)</f>
        <v>35885627</v>
      </c>
      <c r="H46" s="281">
        <f t="shared" si="1"/>
        <v>3.3102512658475775E-2</v>
      </c>
    </row>
    <row r="47" spans="1:9" s="89" customFormat="1" ht="18" customHeight="1">
      <c r="A47" s="113"/>
      <c r="B47" s="456" t="s">
        <v>314</v>
      </c>
      <c r="C47" s="64"/>
      <c r="D47" s="272">
        <f>+[8]Pasivo!D18</f>
        <v>1425874</v>
      </c>
      <c r="E47" s="272">
        <f>+[8]Pasivo!E18</f>
        <v>1629797</v>
      </c>
      <c r="F47" s="88"/>
      <c r="G47" s="267">
        <f t="shared" ref="G47" si="11">ROUND(+(D47-E47),0)</f>
        <v>-203923</v>
      </c>
      <c r="H47" s="281">
        <f t="shared" ref="H47" si="12">IFERROR(G47/E47,1)</f>
        <v>-0.12512171761268429</v>
      </c>
    </row>
    <row r="48" spans="1:9" s="89" customFormat="1" ht="18" customHeight="1">
      <c r="A48" s="113"/>
      <c r="B48" s="456" t="s">
        <v>324</v>
      </c>
      <c r="C48" s="64">
        <f>+[9]Pasivo!C17</f>
        <v>17</v>
      </c>
      <c r="D48" s="272">
        <f>+[8]Pasivo!D19</f>
        <v>1064347</v>
      </c>
      <c r="E48" s="272">
        <f>+[8]Pasivo!E19</f>
        <v>1055267</v>
      </c>
      <c r="F48" s="88"/>
      <c r="G48" s="267">
        <f t="shared" si="10"/>
        <v>9080</v>
      </c>
      <c r="H48" s="281">
        <f t="shared" si="1"/>
        <v>8.6044574501050446E-3</v>
      </c>
    </row>
    <row r="49" spans="1:8" s="89" customFormat="1" ht="18" hidden="1" customHeight="1">
      <c r="A49" s="113"/>
      <c r="B49" s="358" t="s">
        <v>325</v>
      </c>
      <c r="C49" s="64"/>
      <c r="D49" s="272">
        <f>+[8]Pasivo!D20</f>
        <v>0</v>
      </c>
      <c r="E49" s="272">
        <f>+[8]Pasivo!E20</f>
        <v>0</v>
      </c>
      <c r="F49" s="88"/>
      <c r="G49" s="267">
        <f t="shared" ref="G49" si="13">ROUND(+(D49-E49),0)</f>
        <v>0</v>
      </c>
      <c r="H49" s="281">
        <f t="shared" ref="H49" si="14">IFERROR(G49/E49,1)</f>
        <v>1</v>
      </c>
    </row>
    <row r="50" spans="1:8" s="89" customFormat="1" ht="18" customHeight="1">
      <c r="B50" s="456" t="s">
        <v>317</v>
      </c>
      <c r="C50" s="64">
        <f>+[9]Pasivo!C18</f>
        <v>18</v>
      </c>
      <c r="D50" s="272">
        <f>+[8]Pasivo!D21</f>
        <v>1629836</v>
      </c>
      <c r="E50" s="272">
        <f>+[8]Pasivo!E21</f>
        <v>1520318</v>
      </c>
      <c r="F50" s="88"/>
      <c r="G50" s="267">
        <f t="shared" si="10"/>
        <v>109518</v>
      </c>
      <c r="H50" s="281">
        <f t="shared" si="1"/>
        <v>7.2036245048733225E-2</v>
      </c>
    </row>
    <row r="51" spans="1:8" s="89" customFormat="1" ht="18" customHeight="1">
      <c r="B51" s="456" t="s">
        <v>326</v>
      </c>
      <c r="C51" s="64">
        <f>+[9]Pasivo!C19</f>
        <v>15</v>
      </c>
      <c r="D51" s="272">
        <f>+[8]Pasivo!D22</f>
        <v>19671430</v>
      </c>
      <c r="E51" s="272">
        <f>+[8]Pasivo!E22</f>
        <v>23706459</v>
      </c>
      <c r="F51" s="88"/>
      <c r="G51" s="267">
        <f t="shared" si="10"/>
        <v>-4035029</v>
      </c>
      <c r="H51" s="281">
        <f t="shared" si="1"/>
        <v>-0.17020800111901993</v>
      </c>
    </row>
    <row r="52" spans="1:8" s="89" customFormat="1" ht="18" customHeight="1">
      <c r="B52" s="459" t="s">
        <v>327</v>
      </c>
      <c r="C52" s="64">
        <f>+[9]Pasivo!C20</f>
        <v>19</v>
      </c>
      <c r="D52" s="272">
        <f>+[8]Pasivo!D23</f>
        <v>18467012</v>
      </c>
      <c r="E52" s="272">
        <f>+[8]Pasivo!E23</f>
        <v>17666420</v>
      </c>
      <c r="F52" s="88"/>
      <c r="G52" s="267">
        <f t="shared" si="10"/>
        <v>800592</v>
      </c>
      <c r="H52" s="281">
        <f t="shared" si="1"/>
        <v>4.531716103205969E-2</v>
      </c>
    </row>
    <row r="53" spans="1:8" s="89" customFormat="1" ht="18" customHeight="1" thickBot="1">
      <c r="B53" s="456" t="s">
        <v>320</v>
      </c>
      <c r="C53" s="64">
        <f>+[9]Pasivo!C21</f>
        <v>20</v>
      </c>
      <c r="D53" s="272">
        <f>+[8]Pasivo!D24</f>
        <v>8885380</v>
      </c>
      <c r="E53" s="272">
        <f>+[8]Pasivo!E24</f>
        <v>8641295</v>
      </c>
      <c r="F53" s="88"/>
      <c r="G53" s="267">
        <f t="shared" si="10"/>
        <v>244085</v>
      </c>
      <c r="H53" s="281">
        <f t="shared" si="1"/>
        <v>2.824634502120342E-2</v>
      </c>
    </row>
    <row r="54" spans="1:8" s="89" customFormat="1" ht="21" customHeight="1" thickBot="1">
      <c r="B54" s="466" t="s">
        <v>328</v>
      </c>
      <c r="C54" s="67"/>
      <c r="D54" s="273">
        <f>SUM(D46:D53)</f>
        <v>1171105128</v>
      </c>
      <c r="E54" s="273">
        <f>SUM(E46:E53)</f>
        <v>1138295178</v>
      </c>
      <c r="F54" s="88"/>
      <c r="G54" s="282">
        <f t="shared" si="10"/>
        <v>32809950</v>
      </c>
      <c r="H54" s="283">
        <f t="shared" si="1"/>
        <v>2.8823762618100102E-2</v>
      </c>
    </row>
    <row r="55" spans="1:8" s="89" customFormat="1" ht="4.5" customHeight="1" thickBot="1">
      <c r="B55" s="358"/>
      <c r="C55" s="64"/>
      <c r="D55" s="272"/>
      <c r="E55" s="272"/>
      <c r="F55" s="88"/>
      <c r="G55" s="267"/>
      <c r="H55" s="281"/>
    </row>
    <row r="56" spans="1:8" s="89" customFormat="1" ht="21" customHeight="1" thickBot="1">
      <c r="B56" s="364" t="s">
        <v>329</v>
      </c>
      <c r="C56" s="67"/>
      <c r="D56" s="273">
        <f>+D54+D44</f>
        <v>1407979162</v>
      </c>
      <c r="E56" s="273">
        <f>+E54+E44</f>
        <v>1387432006</v>
      </c>
      <c r="F56" s="88"/>
      <c r="G56" s="282">
        <f>ROUND(+(D56-E56),0)</f>
        <v>20547156</v>
      </c>
      <c r="H56" s="283">
        <f t="shared" ref="H56:H67" si="15">IFERROR(G56/E56,100)</f>
        <v>1.4809486815312807E-2</v>
      </c>
    </row>
    <row r="57" spans="1:8" s="89" customFormat="1" ht="21" customHeight="1">
      <c r="B57" s="467" t="s">
        <v>330</v>
      </c>
      <c r="C57" s="365"/>
      <c r="D57" s="275"/>
      <c r="E57" s="275"/>
      <c r="F57" s="88"/>
      <c r="G57" s="267"/>
      <c r="H57" s="281"/>
    </row>
    <row r="58" spans="1:8" s="89" customFormat="1" ht="18" customHeight="1">
      <c r="B58" s="456" t="s">
        <v>331</v>
      </c>
      <c r="C58" s="64">
        <f>+[9]Pasivo!C26</f>
        <v>20</v>
      </c>
      <c r="D58" s="272">
        <f>+[8]Pasivo!D29</f>
        <v>468358402</v>
      </c>
      <c r="E58" s="272">
        <f>+[8]Pasivo!E29</f>
        <v>468358402</v>
      </c>
      <c r="F58" s="88"/>
      <c r="G58" s="267">
        <f t="shared" ref="G58:G65" si="16">ROUND(+(D58-E58),0)</f>
        <v>0</v>
      </c>
      <c r="H58" s="281">
        <f t="shared" si="15"/>
        <v>0</v>
      </c>
    </row>
    <row r="59" spans="1:8" s="89" customFormat="1" ht="18" customHeight="1">
      <c r="B59" s="456" t="s">
        <v>332</v>
      </c>
      <c r="C59" s="64">
        <f>+[9]Pasivo!C27</f>
        <v>20</v>
      </c>
      <c r="D59" s="272">
        <f>+[8]Pasivo!D30</f>
        <v>180058227</v>
      </c>
      <c r="E59" s="272">
        <f>+[8]Pasivo!E30</f>
        <v>179164900</v>
      </c>
      <c r="F59" s="88"/>
      <c r="G59" s="267">
        <f t="shared" si="16"/>
        <v>893327</v>
      </c>
      <c r="H59" s="281">
        <f t="shared" si="15"/>
        <v>4.986060327664626E-3</v>
      </c>
    </row>
    <row r="60" spans="1:8" s="89" customFormat="1" ht="18" customHeight="1">
      <c r="B60" s="470" t="s">
        <v>333</v>
      </c>
      <c r="C60" s="64">
        <f>+[9]Pasivo!C28</f>
        <v>20</v>
      </c>
      <c r="D60" s="272">
        <f>+[8]Pasivo!D31</f>
        <v>0</v>
      </c>
      <c r="E60" s="272">
        <f>+[8]Pasivo!E31</f>
        <v>0</v>
      </c>
      <c r="F60" s="88"/>
      <c r="G60" s="267">
        <f t="shared" si="16"/>
        <v>0</v>
      </c>
      <c r="H60" s="281">
        <f t="shared" si="15"/>
        <v>100</v>
      </c>
    </row>
    <row r="61" spans="1:8" s="88" customFormat="1" ht="18" customHeight="1">
      <c r="A61" s="89"/>
      <c r="B61" s="456" t="s">
        <v>334</v>
      </c>
      <c r="C61" s="64">
        <f>+[9]Pasivo!C29</f>
        <v>20</v>
      </c>
      <c r="D61" s="272">
        <f>+[8]Pasivo!D32</f>
        <v>-37268415</v>
      </c>
      <c r="E61" s="272">
        <f>+[8]Pasivo!E32</f>
        <v>-37268415</v>
      </c>
      <c r="G61" s="267">
        <f t="shared" si="16"/>
        <v>0</v>
      </c>
      <c r="H61" s="281">
        <f t="shared" si="15"/>
        <v>0</v>
      </c>
    </row>
    <row r="62" spans="1:8" s="88" customFormat="1" ht="18" customHeight="1" thickBot="1">
      <c r="A62" s="89"/>
      <c r="B62" s="456" t="s">
        <v>335</v>
      </c>
      <c r="C62" s="64"/>
      <c r="D62" s="272">
        <f>+[8]Pasivo!D33</f>
        <v>83737044</v>
      </c>
      <c r="E62" s="272">
        <f>+[8]Pasivo!E33</f>
        <v>83709983</v>
      </c>
      <c r="G62" s="267">
        <f t="shared" ref="G62" si="17">ROUND(+(D62-E62),0)</f>
        <v>27061</v>
      </c>
      <c r="H62" s="281">
        <f t="shared" ref="H62" si="18">IFERROR(G62/E62,100)</f>
        <v>3.2327088156259692E-4</v>
      </c>
    </row>
    <row r="63" spans="1:8" s="88" customFormat="1" ht="21.75" customHeight="1" thickBot="1">
      <c r="A63" s="89"/>
      <c r="B63" s="468" t="s">
        <v>336</v>
      </c>
      <c r="C63" s="64">
        <f>+[9]Pasivo!C30</f>
        <v>20</v>
      </c>
      <c r="D63" s="275">
        <f>SUM(D58:D62)</f>
        <v>694885258</v>
      </c>
      <c r="E63" s="275">
        <f>SUM(E58:E62)</f>
        <v>693964870</v>
      </c>
      <c r="G63" s="282">
        <f t="shared" si="16"/>
        <v>920388</v>
      </c>
      <c r="H63" s="283">
        <f t="shared" si="15"/>
        <v>1.3262746282819763E-3</v>
      </c>
    </row>
    <row r="64" spans="1:8" s="88" customFormat="1" ht="21.75" customHeight="1" thickBot="1">
      <c r="A64" s="89"/>
      <c r="B64" s="456" t="s">
        <v>337</v>
      </c>
      <c r="C64" s="64">
        <f>+[9]Pasivo!C31</f>
        <v>20</v>
      </c>
      <c r="D64" s="272">
        <f>+[8]Pasivo!D35</f>
        <v>420803216</v>
      </c>
      <c r="E64" s="272">
        <f>+[8]Pasivo!E35</f>
        <v>420425370</v>
      </c>
      <c r="G64" s="267">
        <f t="shared" si="16"/>
        <v>377846</v>
      </c>
      <c r="H64" s="281">
        <f t="shared" si="15"/>
        <v>8.9872311939690982E-4</v>
      </c>
    </row>
    <row r="65" spans="1:8" s="88" customFormat="1" ht="18" customHeight="1" thickBot="1">
      <c r="A65" s="89"/>
      <c r="B65" s="466" t="s">
        <v>338</v>
      </c>
      <c r="C65" s="68"/>
      <c r="D65" s="273">
        <f>+D63+D64</f>
        <v>1115688474</v>
      </c>
      <c r="E65" s="273">
        <f>+E63+E64</f>
        <v>1114390240</v>
      </c>
      <c r="G65" s="282">
        <f t="shared" si="16"/>
        <v>1298234</v>
      </c>
      <c r="H65" s="283">
        <f t="shared" si="15"/>
        <v>1.164972514475719E-3</v>
      </c>
    </row>
    <row r="66" spans="1:8" s="89" customFormat="1" ht="11.25" customHeight="1" thickBot="1">
      <c r="B66" s="459"/>
      <c r="C66" s="64"/>
      <c r="D66" s="272"/>
      <c r="E66" s="272"/>
      <c r="F66" s="88"/>
      <c r="G66" s="267"/>
      <c r="H66" s="281"/>
    </row>
    <row r="67" spans="1:8" s="88" customFormat="1" ht="20.25" customHeight="1" thickBot="1">
      <c r="A67" s="89"/>
      <c r="B67" s="469" t="s">
        <v>339</v>
      </c>
      <c r="C67" s="67"/>
      <c r="D67" s="273">
        <f>+D65+D56</f>
        <v>2523667636</v>
      </c>
      <c r="E67" s="273">
        <f>+E65+E56</f>
        <v>2501822246</v>
      </c>
      <c r="G67" s="282">
        <f>ROUND(+(D67-E67),0)</f>
        <v>21845390</v>
      </c>
      <c r="H67" s="283">
        <f t="shared" si="15"/>
        <v>8.7317914112112344E-3</v>
      </c>
    </row>
    <row r="69" spans="1:8" ht="15" customHeight="1">
      <c r="B69" s="329" t="s">
        <v>144</v>
      </c>
      <c r="C69" s="329"/>
      <c r="D69" s="330">
        <f>+D67-D28</f>
        <v>0</v>
      </c>
      <c r="E69" s="330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rgb="FF000066"/>
    <pageSetUpPr fitToPage="1"/>
  </sheetPr>
  <dimension ref="A1:Q31"/>
  <sheetViews>
    <sheetView showGridLines="0" topLeftCell="A3" zoomScale="90" zoomScaleNormal="90" workbookViewId="0">
      <selection activeCell="B3" sqref="B3:B4"/>
    </sheetView>
  </sheetViews>
  <sheetFormatPr defaultColWidth="11.42578125" defaultRowHeight="12.95"/>
  <cols>
    <col min="1" max="1" width="7.5703125" style="96" customWidth="1"/>
    <col min="2" max="2" width="50.42578125" style="96" customWidth="1"/>
    <col min="3" max="3" width="7.7109375" style="96" customWidth="1"/>
    <col min="4" max="4" width="12.42578125" style="96" bestFit="1" customWidth="1"/>
    <col min="5" max="5" width="13.85546875" style="96" customWidth="1"/>
    <col min="6" max="7" width="12" style="96" customWidth="1"/>
    <col min="8" max="8" width="5" style="96" customWidth="1"/>
    <col min="9" max="9" width="11.42578125" style="276"/>
    <col min="10" max="11" width="12.7109375" style="277" customWidth="1"/>
    <col min="12" max="12" width="11.42578125" style="276" customWidth="1"/>
    <col min="13" max="13" width="12.7109375" style="277" customWidth="1"/>
    <col min="14" max="14" width="11.42578125" style="96"/>
    <col min="15" max="16" width="12" style="96" bestFit="1" customWidth="1"/>
    <col min="17" max="16384" width="11.42578125" style="96"/>
  </cols>
  <sheetData>
    <row r="1" spans="1:17">
      <c r="C1" s="105"/>
      <c r="P1"/>
      <c r="Q1"/>
    </row>
    <row r="2" spans="1:17" ht="13.5" thickBot="1">
      <c r="C2" s="105"/>
      <c r="I2" s="496" t="s">
        <v>340</v>
      </c>
      <c r="J2" s="496"/>
      <c r="K2" s="311"/>
      <c r="L2" s="496" t="s">
        <v>341</v>
      </c>
      <c r="M2" s="496"/>
      <c r="P2"/>
      <c r="Q2"/>
    </row>
    <row r="3" spans="1:17" s="89" customFormat="1" ht="26.1">
      <c r="A3" s="106"/>
      <c r="B3" s="486" t="s">
        <v>342</v>
      </c>
      <c r="C3" s="493" t="s">
        <v>289</v>
      </c>
      <c r="D3" s="58">
        <f>+[8]Resultado!$D$2</f>
        <v>44742</v>
      </c>
      <c r="E3" s="58">
        <f>+[8]Resultado!$E$2</f>
        <v>44377</v>
      </c>
      <c r="F3" s="69" t="str">
        <f>+[3]Resultado!F2</f>
        <v>01-07-2021
30-09-2021</v>
      </c>
      <c r="G3" s="70" t="str">
        <f>+[3]Resultado!G2</f>
        <v>01-07-2020
30-09-2020</v>
      </c>
      <c r="I3" s="494" t="s">
        <v>290</v>
      </c>
      <c r="J3" s="495"/>
      <c r="K3" s="312"/>
      <c r="L3" s="494" t="s">
        <v>290</v>
      </c>
      <c r="M3" s="495"/>
      <c r="P3" s="368">
        <v>44651</v>
      </c>
      <c r="Q3" s="368">
        <v>44286</v>
      </c>
    </row>
    <row r="4" spans="1:17" s="89" customFormat="1" ht="16.5" customHeight="1">
      <c r="B4" s="487"/>
      <c r="C4" s="488"/>
      <c r="D4" s="59" t="s">
        <v>115</v>
      </c>
      <c r="E4" s="59" t="s">
        <v>115</v>
      </c>
      <c r="F4" s="71" t="s">
        <v>115</v>
      </c>
      <c r="G4" s="60" t="s">
        <v>115</v>
      </c>
      <c r="I4" s="279" t="s">
        <v>115</v>
      </c>
      <c r="J4" s="280" t="s">
        <v>187</v>
      </c>
      <c r="K4" s="313"/>
      <c r="L4" s="279" t="s">
        <v>115</v>
      </c>
      <c r="M4" s="280"/>
      <c r="P4" s="369" t="s">
        <v>115</v>
      </c>
      <c r="Q4" s="369" t="s">
        <v>115</v>
      </c>
    </row>
    <row r="5" spans="1:17" s="89" customFormat="1" ht="21" customHeight="1">
      <c r="B5" s="444" t="s">
        <v>343</v>
      </c>
      <c r="C5" s="64">
        <v>21</v>
      </c>
      <c r="D5" s="62">
        <f>+[8]Resultado!D4</f>
        <v>281222606</v>
      </c>
      <c r="E5" s="62">
        <f>+[8]Resultado!E4</f>
        <v>256946925</v>
      </c>
      <c r="F5" s="62">
        <f>+[4]Resultado!F4</f>
        <v>130883929</v>
      </c>
      <c r="G5" s="62">
        <f>+[4]Resultado!G4</f>
        <v>120404559</v>
      </c>
      <c r="H5" s="88"/>
      <c r="I5" s="267">
        <f>+ROUND((D5-E5),0)</f>
        <v>24275681</v>
      </c>
      <c r="J5" s="284">
        <f>IFERROR(I5/E5,1)</f>
        <v>9.4477413963992757E-2</v>
      </c>
      <c r="K5" s="314"/>
      <c r="L5" s="267">
        <f>+ROUND((F5-G5),0)</f>
        <v>10479370</v>
      </c>
      <c r="M5" s="284">
        <f>IFERROR(L5/G5,1)</f>
        <v>8.7034661204149252E-2</v>
      </c>
      <c r="O5" s="366">
        <f>+E6+E7+E8+E10</f>
        <v>-152168098</v>
      </c>
      <c r="P5" s="370">
        <v>150338677</v>
      </c>
      <c r="Q5" s="370">
        <v>136542366</v>
      </c>
    </row>
    <row r="6" spans="1:17" s="89" customFormat="1" ht="21" customHeight="1">
      <c r="B6" s="444" t="s">
        <v>344</v>
      </c>
      <c r="C6" s="64"/>
      <c r="D6" s="62">
        <f>+[8]Resultado!D5</f>
        <v>-34869164</v>
      </c>
      <c r="E6" s="62">
        <f>+[8]Resultado!E5</f>
        <v>-23909001</v>
      </c>
      <c r="F6" s="62">
        <f>+[4]Resultado!F5</f>
        <v>-19316506</v>
      </c>
      <c r="G6" s="62">
        <f>+[4]Resultado!G5</f>
        <v>-12446617</v>
      </c>
      <c r="H6" s="88"/>
      <c r="I6" s="267">
        <f t="shared" ref="I6:I20" si="0">+ROUND((D6-E6),0)</f>
        <v>-10960163</v>
      </c>
      <c r="J6" s="284">
        <f t="shared" ref="J6:J27" si="1">IFERROR(I6/E6,1)</f>
        <v>0.45841158315230318</v>
      </c>
      <c r="K6" s="314"/>
      <c r="L6" s="267">
        <f t="shared" ref="L6:L20" si="2">+ROUND((F6-G6),0)</f>
        <v>-6869889</v>
      </c>
      <c r="M6" s="284">
        <f t="shared" ref="M6:M27" si="3">IFERROR(L6/G6,1)</f>
        <v>0.55194829245569299</v>
      </c>
      <c r="O6" s="366">
        <f>+D6+D7+D8+D10</f>
        <v>-169272372</v>
      </c>
      <c r="P6" s="370">
        <v>-15552658</v>
      </c>
      <c r="Q6" s="370">
        <v>-11462384</v>
      </c>
    </row>
    <row r="7" spans="1:17" s="89" customFormat="1" ht="21" customHeight="1">
      <c r="B7" s="444" t="s">
        <v>319</v>
      </c>
      <c r="C7" s="64">
        <f>+[10]Pasivo!C11</f>
        <v>18</v>
      </c>
      <c r="D7" s="62">
        <f>+[8]Resultado!D6</f>
        <v>-30498179</v>
      </c>
      <c r="E7" s="62">
        <f>+[8]Resultado!E6</f>
        <v>-26877876</v>
      </c>
      <c r="F7" s="62">
        <f>+[4]Resultado!F6</f>
        <v>-16998705</v>
      </c>
      <c r="G7" s="62">
        <f>+[4]Resultado!G6</f>
        <v>-14018626</v>
      </c>
      <c r="H7" s="88"/>
      <c r="I7" s="267">
        <f t="shared" si="0"/>
        <v>-3620303</v>
      </c>
      <c r="J7" s="284">
        <f t="shared" si="1"/>
        <v>0.13469453464254394</v>
      </c>
      <c r="K7" s="314"/>
      <c r="L7" s="267">
        <f t="shared" si="2"/>
        <v>-2980079</v>
      </c>
      <c r="M7" s="284">
        <f t="shared" si="3"/>
        <v>0.21257996325745476</v>
      </c>
      <c r="O7" s="366">
        <f>O6-O5</f>
        <v>-17104274</v>
      </c>
      <c r="P7" s="370">
        <v>-13499474</v>
      </c>
      <c r="Q7" s="370">
        <v>-12859250</v>
      </c>
    </row>
    <row r="8" spans="1:17" s="89" customFormat="1" ht="21" customHeight="1">
      <c r="B8" s="444" t="s">
        <v>345</v>
      </c>
      <c r="C8" s="64" t="s">
        <v>346</v>
      </c>
      <c r="D8" s="62">
        <f>+[8]Resultado!D7</f>
        <v>-36505882</v>
      </c>
      <c r="E8" s="62">
        <f>+[8]Resultado!E7</f>
        <v>-33845344</v>
      </c>
      <c r="F8" s="62">
        <f>+[4]Resultado!F7</f>
        <v>-18978198</v>
      </c>
      <c r="G8" s="62">
        <f>+[4]Resultado!G7</f>
        <v>-17109521</v>
      </c>
      <c r="H8" s="88"/>
      <c r="I8" s="267">
        <f t="shared" si="0"/>
        <v>-2660538</v>
      </c>
      <c r="J8" s="284">
        <f t="shared" si="1"/>
        <v>7.8608685436909728E-2</v>
      </c>
      <c r="K8" s="314"/>
      <c r="L8" s="267">
        <f t="shared" si="2"/>
        <v>-1868677</v>
      </c>
      <c r="M8" s="284">
        <f t="shared" si="3"/>
        <v>0.10921854562731476</v>
      </c>
      <c r="P8" s="370">
        <v>-17527684</v>
      </c>
      <c r="Q8" s="370">
        <v>-16735823</v>
      </c>
    </row>
    <row r="9" spans="1:17" s="89" customFormat="1" ht="21" customHeight="1">
      <c r="B9" s="444" t="s">
        <v>347</v>
      </c>
      <c r="C9" s="64"/>
      <c r="D9" s="62">
        <f>+[8]Resultado!D8</f>
        <v>0</v>
      </c>
      <c r="E9" s="62">
        <f>+[8]Resultado!E8</f>
        <v>0</v>
      </c>
      <c r="F9" s="62">
        <f>+[4]Resultado!F8</f>
        <v>0</v>
      </c>
      <c r="G9" s="62">
        <f>+[4]Resultado!G8</f>
        <v>0</v>
      </c>
      <c r="H9" s="88"/>
      <c r="I9" s="267">
        <f t="shared" si="0"/>
        <v>0</v>
      </c>
      <c r="J9" s="284">
        <f t="shared" si="1"/>
        <v>1</v>
      </c>
      <c r="K9" s="314"/>
      <c r="L9" s="267">
        <f t="shared" si="2"/>
        <v>0</v>
      </c>
      <c r="M9" s="284">
        <f t="shared" si="3"/>
        <v>1</v>
      </c>
      <c r="P9" s="370">
        <v>0</v>
      </c>
      <c r="Q9" s="370">
        <v>0</v>
      </c>
    </row>
    <row r="10" spans="1:17" s="89" customFormat="1" ht="21" customHeight="1">
      <c r="B10" s="444" t="s">
        <v>348</v>
      </c>
      <c r="C10" s="64">
        <v>22</v>
      </c>
      <c r="D10" s="62">
        <f>+[8]Resultado!D9</f>
        <v>-67399147</v>
      </c>
      <c r="E10" s="62">
        <f>+[8]Resultado!E9</f>
        <v>-67535877</v>
      </c>
      <c r="F10" s="62">
        <f>+[4]Resultado!F9</f>
        <v>-30285957</v>
      </c>
      <c r="G10" s="62">
        <f>+[4]Resultado!G9</f>
        <v>-36584722</v>
      </c>
      <c r="H10" s="88"/>
      <c r="I10" s="267">
        <f t="shared" si="0"/>
        <v>136730</v>
      </c>
      <c r="J10" s="284">
        <f t="shared" si="1"/>
        <v>-2.0245535569190878E-3</v>
      </c>
      <c r="K10" s="314"/>
      <c r="L10" s="267">
        <f t="shared" si="2"/>
        <v>6298765</v>
      </c>
      <c r="M10" s="284">
        <f t="shared" si="3"/>
        <v>-0.17216927328298409</v>
      </c>
      <c r="P10" s="370">
        <v>-37113190</v>
      </c>
      <c r="Q10" s="370">
        <v>-30951155</v>
      </c>
    </row>
    <row r="11" spans="1:17" s="89" customFormat="1" ht="21" customHeight="1">
      <c r="B11" s="444" t="s">
        <v>349</v>
      </c>
      <c r="C11" s="64">
        <v>23</v>
      </c>
      <c r="D11" s="62">
        <f>+[8]Resultado!D10</f>
        <v>-1188593</v>
      </c>
      <c r="E11" s="62">
        <f>+[8]Resultado!E10</f>
        <v>-2036737</v>
      </c>
      <c r="F11" s="62">
        <f>+[4]Resultado!F10</f>
        <v>-954770</v>
      </c>
      <c r="G11" s="62">
        <f>+[4]Resultado!G10</f>
        <v>-1003791</v>
      </c>
      <c r="H11" s="88"/>
      <c r="I11" s="267">
        <f t="shared" si="0"/>
        <v>848144</v>
      </c>
      <c r="J11" s="284">
        <f t="shared" si="1"/>
        <v>-0.41642293531270852</v>
      </c>
      <c r="K11" s="314"/>
      <c r="L11" s="267">
        <f t="shared" si="2"/>
        <v>49021</v>
      </c>
      <c r="M11" s="284">
        <f t="shared" si="3"/>
        <v>-4.8835863242447881E-2</v>
      </c>
      <c r="P11" s="370">
        <v>-233823</v>
      </c>
      <c r="Q11" s="370">
        <v>-1032946</v>
      </c>
    </row>
    <row r="12" spans="1:17" s="89" customFormat="1" ht="21" customHeight="1">
      <c r="B12" s="445" t="s">
        <v>350</v>
      </c>
      <c r="C12" s="293"/>
      <c r="D12" s="293">
        <f>+SUM(D5:D11)</f>
        <v>110761641</v>
      </c>
      <c r="E12" s="293">
        <f t="shared" ref="E12:G12" si="4">+SUM(E5:E11)</f>
        <v>102742090</v>
      </c>
      <c r="F12" s="293">
        <f t="shared" si="4"/>
        <v>44349793</v>
      </c>
      <c r="G12" s="293">
        <f t="shared" si="4"/>
        <v>39241282</v>
      </c>
      <c r="H12" s="88"/>
      <c r="I12" s="267"/>
      <c r="J12" s="284"/>
      <c r="K12" s="314"/>
      <c r="L12" s="267"/>
      <c r="M12" s="284"/>
      <c r="P12" s="372">
        <v>66411848</v>
      </c>
      <c r="Q12" s="372">
        <v>63500808</v>
      </c>
    </row>
    <row r="13" spans="1:17" s="89" customFormat="1" ht="21" customHeight="1">
      <c r="B13" s="444" t="s">
        <v>351</v>
      </c>
      <c r="C13" s="64">
        <f>+C11</f>
        <v>23</v>
      </c>
      <c r="D13" s="62">
        <f>+[8]Resultado!D12</f>
        <v>6966710</v>
      </c>
      <c r="E13" s="62">
        <f>+[8]Resultado!E12</f>
        <v>1612537</v>
      </c>
      <c r="F13" s="62">
        <f>+[4]Resultado!F12</f>
        <v>3952238</v>
      </c>
      <c r="G13" s="62">
        <f>+[4]Resultado!G12</f>
        <v>897730</v>
      </c>
      <c r="H13" s="88"/>
      <c r="I13" s="267">
        <f t="shared" si="0"/>
        <v>5354173</v>
      </c>
      <c r="J13" s="284">
        <f t="shared" si="1"/>
        <v>3.3203411766675743</v>
      </c>
      <c r="K13" s="314"/>
      <c r="L13" s="267">
        <f t="shared" si="2"/>
        <v>3054508</v>
      </c>
      <c r="M13" s="284">
        <f t="shared" si="3"/>
        <v>3.4024795874037852</v>
      </c>
      <c r="P13" s="370">
        <v>3014472</v>
      </c>
      <c r="Q13" s="370">
        <v>714807</v>
      </c>
    </row>
    <row r="14" spans="1:17" s="89" customFormat="1" ht="21" customHeight="1">
      <c r="B14" s="444" t="s">
        <v>352</v>
      </c>
      <c r="C14" s="64">
        <f>+C13</f>
        <v>23</v>
      </c>
      <c r="D14" s="62">
        <f>+[8]Resultado!D13</f>
        <v>-15977703</v>
      </c>
      <c r="E14" s="62">
        <f>+[8]Resultado!E13</f>
        <v>-13555311</v>
      </c>
      <c r="F14" s="62">
        <f>+[4]Resultado!F13</f>
        <v>-7790230</v>
      </c>
      <c r="G14" s="62">
        <f>+[4]Resultado!G13</f>
        <v>-6749930</v>
      </c>
      <c r="H14" s="88"/>
      <c r="I14" s="267">
        <f t="shared" si="0"/>
        <v>-2422392</v>
      </c>
      <c r="J14" s="284">
        <f t="shared" si="1"/>
        <v>0.17870427318119075</v>
      </c>
      <c r="K14" s="314"/>
      <c r="L14" s="267">
        <f t="shared" si="2"/>
        <v>-1040300</v>
      </c>
      <c r="M14" s="284">
        <f t="shared" si="3"/>
        <v>0.15412011680121127</v>
      </c>
      <c r="P14" s="370">
        <v>-8187473</v>
      </c>
      <c r="Q14" s="370">
        <v>-6805381</v>
      </c>
    </row>
    <row r="15" spans="1:17" s="89" customFormat="1" ht="21" customHeight="1">
      <c r="B15" s="446" t="s">
        <v>353</v>
      </c>
      <c r="C15" s="64">
        <v>24</v>
      </c>
      <c r="D15" s="62">
        <f>+[8]Resultado!D14</f>
        <v>-1822083</v>
      </c>
      <c r="E15" s="62">
        <f>+[8]Resultado!E14</f>
        <v>211841</v>
      </c>
      <c r="F15" s="62">
        <f>+[4]Resultado!F14</f>
        <v>-1487096</v>
      </c>
      <c r="G15" s="62">
        <f>+[4]Resultado!G14</f>
        <v>145242</v>
      </c>
      <c r="H15" s="88"/>
      <c r="I15" s="267">
        <f t="shared" si="0"/>
        <v>-2033924</v>
      </c>
      <c r="J15" s="284">
        <f t="shared" si="1"/>
        <v>-9.6011820185894141</v>
      </c>
      <c r="K15" s="314"/>
      <c r="L15" s="267">
        <f t="shared" si="2"/>
        <v>-1632338</v>
      </c>
      <c r="M15" s="284">
        <f t="shared" si="3"/>
        <v>-11.23874636813043</v>
      </c>
      <c r="P15" s="370">
        <v>-334987</v>
      </c>
      <c r="Q15" s="370">
        <v>66599</v>
      </c>
    </row>
    <row r="16" spans="1:17" s="89" customFormat="1" ht="21" customHeight="1" thickBot="1">
      <c r="B16" s="444" t="s">
        <v>354</v>
      </c>
      <c r="C16" s="64">
        <v>25</v>
      </c>
      <c r="D16" s="62">
        <f>+[8]Resultado!D15</f>
        <v>-59234526</v>
      </c>
      <c r="E16" s="62">
        <f>+[8]Resultado!E15</f>
        <v>-18580536</v>
      </c>
      <c r="F16" s="62">
        <f>+[4]Resultado!F15</f>
        <v>-38094966</v>
      </c>
      <c r="G16" s="62">
        <f>+[4]Resultado!G15</f>
        <v>-9127658</v>
      </c>
      <c r="H16" s="88"/>
      <c r="I16" s="267">
        <f t="shared" si="0"/>
        <v>-40653990</v>
      </c>
      <c r="J16" s="284">
        <f t="shared" si="1"/>
        <v>2.1879880106795628</v>
      </c>
      <c r="K16" s="314"/>
      <c r="L16" s="267">
        <f t="shared" si="2"/>
        <v>-28967308</v>
      </c>
      <c r="M16" s="284">
        <f t="shared" si="3"/>
        <v>3.173575083553744</v>
      </c>
      <c r="P16" s="370">
        <v>-21139560</v>
      </c>
      <c r="Q16" s="370">
        <v>-9452878</v>
      </c>
    </row>
    <row r="17" spans="2:17" s="89" customFormat="1" ht="21" hidden="1" customHeight="1" thickBot="1">
      <c r="B17" s="444" t="s">
        <v>355</v>
      </c>
      <c r="C17" s="64"/>
      <c r="D17" s="62"/>
      <c r="E17" s="62"/>
      <c r="F17" s="72"/>
      <c r="G17" s="63"/>
      <c r="H17" s="88"/>
      <c r="I17" s="267"/>
      <c r="J17" s="284"/>
      <c r="K17" s="314"/>
      <c r="L17" s="267"/>
      <c r="M17" s="284"/>
      <c r="P17" s="370">
        <v>0</v>
      </c>
      <c r="Q17" s="370">
        <v>0</v>
      </c>
    </row>
    <row r="18" spans="2:17" s="89" customFormat="1" ht="21" customHeight="1" thickBot="1">
      <c r="B18" s="447" t="s">
        <v>356</v>
      </c>
      <c r="C18" s="74"/>
      <c r="D18" s="75">
        <f>SUM(D12:D16)</f>
        <v>40694039</v>
      </c>
      <c r="E18" s="75">
        <f>SUM(E12:E16)</f>
        <v>72430621</v>
      </c>
      <c r="F18" s="76">
        <f t="shared" ref="F18:G18" si="5">SUM(F12:F16)</f>
        <v>929739</v>
      </c>
      <c r="G18" s="77">
        <f t="shared" si="5"/>
        <v>24406666</v>
      </c>
      <c r="H18" s="88"/>
      <c r="I18" s="282">
        <f t="shared" si="0"/>
        <v>-31736582</v>
      </c>
      <c r="J18" s="285">
        <f t="shared" si="1"/>
        <v>-0.43816526162325736</v>
      </c>
      <c r="K18" s="315"/>
      <c r="L18" s="282">
        <f t="shared" si="2"/>
        <v>-23476927</v>
      </c>
      <c r="M18" s="285">
        <f t="shared" si="3"/>
        <v>-0.96190634968332012</v>
      </c>
      <c r="P18" s="373">
        <v>39764300</v>
      </c>
      <c r="Q18" s="373">
        <v>48023955</v>
      </c>
    </row>
    <row r="19" spans="2:17" s="89" customFormat="1" ht="21" customHeight="1" thickBot="1">
      <c r="B19" s="444" t="s">
        <v>357</v>
      </c>
      <c r="C19" s="64">
        <v>13</v>
      </c>
      <c r="D19" s="62">
        <f>+[8]Resultado!D18</f>
        <v>2496350</v>
      </c>
      <c r="E19" s="62">
        <f>+[8]Resultado!E18</f>
        <v>-14699913</v>
      </c>
      <c r="F19" s="62">
        <f>+[4]Resultado!F18</f>
        <v>8759753</v>
      </c>
      <c r="G19" s="62">
        <f>+[4]Resultado!G18</f>
        <v>-4656780</v>
      </c>
      <c r="H19" s="88"/>
      <c r="I19" s="267">
        <f t="shared" si="0"/>
        <v>17196263</v>
      </c>
      <c r="J19" s="284">
        <f t="shared" si="1"/>
        <v>-1.1698207329526371</v>
      </c>
      <c r="K19" s="314"/>
      <c r="L19" s="267">
        <f t="shared" si="2"/>
        <v>13416533</v>
      </c>
      <c r="M19" s="284">
        <f t="shared" si="3"/>
        <v>-2.8810751205768792</v>
      </c>
      <c r="P19" s="370">
        <v>-6263403</v>
      </c>
      <c r="Q19" s="370">
        <v>-10043133</v>
      </c>
    </row>
    <row r="20" spans="2:17" s="89" customFormat="1" ht="21" customHeight="1" thickBot="1">
      <c r="B20" s="448" t="s">
        <v>358</v>
      </c>
      <c r="C20" s="78"/>
      <c r="D20" s="75">
        <f>+D18+D19</f>
        <v>43190389</v>
      </c>
      <c r="E20" s="75">
        <f>+E18+E19</f>
        <v>57730708</v>
      </c>
      <c r="F20" s="76">
        <f t="shared" ref="F20:G20" si="6">+F18+F19</f>
        <v>9689492</v>
      </c>
      <c r="G20" s="77">
        <f t="shared" si="6"/>
        <v>19749886</v>
      </c>
      <c r="H20" s="88"/>
      <c r="I20" s="282">
        <f t="shared" si="0"/>
        <v>-14540319</v>
      </c>
      <c r="J20" s="285">
        <f t="shared" si="1"/>
        <v>-0.25186455360983967</v>
      </c>
      <c r="K20" s="315"/>
      <c r="L20" s="282">
        <f t="shared" si="2"/>
        <v>-10060394</v>
      </c>
      <c r="M20" s="285">
        <f t="shared" si="3"/>
        <v>-0.50938997825101373</v>
      </c>
      <c r="P20" s="373">
        <v>33500897</v>
      </c>
      <c r="Q20" s="373">
        <v>37980822</v>
      </c>
    </row>
    <row r="21" spans="2:17" s="89" customFormat="1" ht="21" customHeight="1" thickBot="1">
      <c r="B21" s="449" t="s">
        <v>285</v>
      </c>
      <c r="C21" s="64"/>
      <c r="D21" s="62">
        <f>+[3]Resultado!D20</f>
        <v>0</v>
      </c>
      <c r="E21" s="62">
        <f>+[3]Resultado!E20</f>
        <v>0</v>
      </c>
      <c r="F21" s="72">
        <f t="shared" ref="F21" si="7">D21-P21</f>
        <v>0</v>
      </c>
      <c r="G21" s="72">
        <f>+Q21</f>
        <v>0</v>
      </c>
      <c r="H21" s="88"/>
      <c r="I21" s="267">
        <f t="shared" ref="I21" si="8">+ROUND((D21-E21),0)</f>
        <v>0</v>
      </c>
      <c r="J21" s="284">
        <f t="shared" ref="J21" si="9">IFERROR(I21/E21,1)</f>
        <v>1</v>
      </c>
      <c r="K21" s="314"/>
      <c r="L21" s="267">
        <f t="shared" ref="L21" si="10">+ROUND((F21-G21),0)</f>
        <v>0</v>
      </c>
      <c r="M21" s="284">
        <f t="shared" ref="M21" si="11">IFERROR(L21/G21,1)</f>
        <v>1</v>
      </c>
      <c r="P21" s="370">
        <v>0</v>
      </c>
      <c r="Q21" s="370">
        <v>0</v>
      </c>
    </row>
    <row r="22" spans="2:17" s="89" customFormat="1" ht="23.25" hidden="1" customHeight="1" thickBot="1">
      <c r="B22" s="450"/>
      <c r="C22" s="79"/>
      <c r="D22" s="62"/>
      <c r="E22" s="62"/>
      <c r="F22" s="72"/>
      <c r="G22" s="63"/>
      <c r="H22" s="88"/>
      <c r="I22" s="267"/>
      <c r="J22" s="284"/>
      <c r="K22" s="314"/>
      <c r="L22" s="267"/>
      <c r="M22" s="284"/>
      <c r="P22" s="370"/>
      <c r="Q22" s="370"/>
    </row>
    <row r="23" spans="2:17" s="89" customFormat="1" ht="21" customHeight="1" thickBot="1">
      <c r="B23" s="447" t="s">
        <v>359</v>
      </c>
      <c r="C23" s="78"/>
      <c r="D23" s="75">
        <f>+D20+D21</f>
        <v>43190389</v>
      </c>
      <c r="E23" s="75">
        <f t="shared" ref="E23:G23" si="12">+E20+E21</f>
        <v>57730708</v>
      </c>
      <c r="F23" s="76">
        <f t="shared" si="12"/>
        <v>9689492</v>
      </c>
      <c r="G23" s="77">
        <f t="shared" si="12"/>
        <v>19749886</v>
      </c>
      <c r="H23" s="88"/>
      <c r="I23" s="282">
        <f>+ROUND((D23-E23),0)</f>
        <v>-14540319</v>
      </c>
      <c r="J23" s="285">
        <f t="shared" si="1"/>
        <v>-0.25186455360983967</v>
      </c>
      <c r="K23" s="315"/>
      <c r="L23" s="282">
        <f>+ROUND((F23-G23),0)</f>
        <v>-10060394</v>
      </c>
      <c r="M23" s="285">
        <f t="shared" si="3"/>
        <v>-0.50938997825101373</v>
      </c>
      <c r="P23" s="373">
        <v>33500897</v>
      </c>
      <c r="Q23" s="373">
        <v>37980822</v>
      </c>
    </row>
    <row r="24" spans="2:17" s="89" customFormat="1" ht="21" customHeight="1" thickBot="1">
      <c r="B24" s="451" t="s">
        <v>360</v>
      </c>
      <c r="C24" s="81" t="s">
        <v>193</v>
      </c>
      <c r="D24" s="82"/>
      <c r="E24" s="73"/>
      <c r="F24" s="83"/>
      <c r="G24" s="80"/>
      <c r="H24" s="88"/>
      <c r="I24" s="267"/>
      <c r="J24" s="284"/>
      <c r="K24" s="314"/>
      <c r="L24" s="267"/>
      <c r="M24" s="284"/>
      <c r="P24" s="374"/>
      <c r="Q24" s="370"/>
    </row>
    <row r="25" spans="2:17" s="89" customFormat="1" ht="21" customHeight="1" thickBot="1">
      <c r="B25" s="448" t="s">
        <v>361</v>
      </c>
      <c r="C25" s="78"/>
      <c r="D25" s="84">
        <f>+D23-D26</f>
        <v>21384076</v>
      </c>
      <c r="E25" s="84">
        <f>+E23-E26</f>
        <v>28643815</v>
      </c>
      <c r="F25" s="84">
        <f t="shared" ref="F25:G25" si="13">+F23-F26</f>
        <v>4724054</v>
      </c>
      <c r="G25" s="84">
        <f t="shared" si="13"/>
        <v>9794745</v>
      </c>
      <c r="H25" s="88"/>
      <c r="I25" s="282">
        <f t="shared" ref="I25:I27" si="14">+ROUND((D25-E25),0)</f>
        <v>-7259739</v>
      </c>
      <c r="J25" s="285">
        <f t="shared" si="1"/>
        <v>-0.25344874626511865</v>
      </c>
      <c r="K25" s="315"/>
      <c r="L25" s="282">
        <f t="shared" ref="L25:L27" si="15">+ROUND((F25-G25),0)</f>
        <v>-5070691</v>
      </c>
      <c r="M25" s="285">
        <f t="shared" si="3"/>
        <v>-0.51769504974351044</v>
      </c>
      <c r="P25" s="375">
        <v>16660022</v>
      </c>
      <c r="Q25" s="375">
        <v>18849070</v>
      </c>
    </row>
    <row r="26" spans="2:17" s="89" customFormat="1" ht="21" customHeight="1" thickBot="1">
      <c r="B26" s="446" t="s">
        <v>362</v>
      </c>
      <c r="C26" s="79">
        <v>20</v>
      </c>
      <c r="D26" s="62">
        <f>+[8]Resultado!D25</f>
        <v>21806313</v>
      </c>
      <c r="E26" s="62">
        <f>+[8]Resultado!E25</f>
        <v>29086893</v>
      </c>
      <c r="F26" s="62">
        <f>+[4]Resultado!F25</f>
        <v>4965438</v>
      </c>
      <c r="G26" s="62">
        <f>+[4]Resultado!G25</f>
        <v>9955141</v>
      </c>
      <c r="H26" s="88"/>
      <c r="I26" s="267">
        <f t="shared" si="14"/>
        <v>-7280580</v>
      </c>
      <c r="J26" s="284">
        <f t="shared" si="1"/>
        <v>-0.250304492817435</v>
      </c>
      <c r="K26" s="314"/>
      <c r="L26" s="267">
        <f t="shared" si="15"/>
        <v>-4989703</v>
      </c>
      <c r="M26" s="284">
        <f t="shared" si="3"/>
        <v>-0.5012187170427822</v>
      </c>
      <c r="P26" s="370">
        <v>16840875</v>
      </c>
      <c r="Q26" s="370">
        <v>19131752</v>
      </c>
    </row>
    <row r="27" spans="2:17" s="89" customFormat="1" ht="21" customHeight="1" thickBot="1">
      <c r="B27" s="452" t="s">
        <v>359</v>
      </c>
      <c r="C27" s="85"/>
      <c r="D27" s="84">
        <f>+D25+D26</f>
        <v>43190389</v>
      </c>
      <c r="E27" s="84">
        <f t="shared" ref="E27:G27" si="16">+E25+E26</f>
        <v>57730708</v>
      </c>
      <c r="F27" s="86">
        <f t="shared" si="16"/>
        <v>9689492</v>
      </c>
      <c r="G27" s="87">
        <f t="shared" si="16"/>
        <v>19749886</v>
      </c>
      <c r="H27" s="88"/>
      <c r="I27" s="282">
        <f t="shared" si="14"/>
        <v>-14540319</v>
      </c>
      <c r="J27" s="285">
        <f t="shared" si="1"/>
        <v>-0.25186455360983967</v>
      </c>
      <c r="K27" s="315"/>
      <c r="L27" s="282">
        <f t="shared" si="15"/>
        <v>-10060394</v>
      </c>
      <c r="M27" s="285">
        <f t="shared" si="3"/>
        <v>-0.50938997825101373</v>
      </c>
      <c r="P27" s="375">
        <v>33500897</v>
      </c>
      <c r="Q27" s="375">
        <v>37980822</v>
      </c>
    </row>
    <row r="28" spans="2:17" s="89" customFormat="1" ht="21" customHeight="1">
      <c r="B28" s="453" t="s">
        <v>363</v>
      </c>
      <c r="C28" s="81"/>
      <c r="D28" s="88"/>
      <c r="E28" s="73"/>
      <c r="G28" s="80"/>
      <c r="I28" s="351"/>
      <c r="J28" s="352"/>
      <c r="K28" s="314"/>
      <c r="L28" s="351"/>
      <c r="M28" s="352"/>
      <c r="P28" s="376"/>
      <c r="Q28" s="370"/>
    </row>
    <row r="29" spans="2:17" s="89" customFormat="1" ht="21" customHeight="1">
      <c r="B29" s="446" t="s">
        <v>364</v>
      </c>
      <c r="C29" s="64">
        <v>27</v>
      </c>
      <c r="D29" s="404">
        <f>+[8]Resultado!D28</f>
        <v>21.384076</v>
      </c>
      <c r="E29" s="404">
        <f>+[8]Resultado!E28</f>
        <v>28.643815</v>
      </c>
      <c r="F29" s="404">
        <f>+[4]Resultado!F28</f>
        <v>4.7240539999999989</v>
      </c>
      <c r="G29" s="404">
        <f>+[4]Resultado!G28</f>
        <v>9.7947449999999989</v>
      </c>
      <c r="H29" s="88"/>
      <c r="I29" s="267"/>
      <c r="J29" s="284"/>
      <c r="K29" s="314"/>
      <c r="L29" s="267"/>
      <c r="M29" s="284"/>
      <c r="P29" s="371">
        <v>16.660022000000001</v>
      </c>
      <c r="Q29" s="371">
        <v>18.849070000000001</v>
      </c>
    </row>
    <row r="30" spans="2:17" s="89" customFormat="1" ht="21" customHeight="1" thickBot="1">
      <c r="B30" s="454" t="s">
        <v>365</v>
      </c>
      <c r="C30" s="90"/>
      <c r="D30" s="91">
        <f>+D29</f>
        <v>21.384076</v>
      </c>
      <c r="E30" s="91">
        <f t="shared" ref="E30:G30" si="17">+E29</f>
        <v>28.643815</v>
      </c>
      <c r="F30" s="92">
        <f t="shared" si="17"/>
        <v>4.7240539999999989</v>
      </c>
      <c r="G30" s="93">
        <f t="shared" si="17"/>
        <v>9.7947449999999989</v>
      </c>
      <c r="I30" s="353"/>
      <c r="J30" s="354"/>
      <c r="K30" s="314"/>
      <c r="L30" s="353"/>
      <c r="M30" s="354"/>
      <c r="P30" s="377">
        <v>16.660022000000001</v>
      </c>
      <c r="Q30" s="377">
        <v>18.849070000000001</v>
      </c>
    </row>
    <row r="31" spans="2:17" ht="9" customHeight="1">
      <c r="B31" s="97"/>
      <c r="C31" s="97"/>
      <c r="D31" s="97"/>
      <c r="E31" s="97"/>
      <c r="F31" s="107"/>
      <c r="G31" s="107"/>
      <c r="P31" s="97"/>
      <c r="Q31" s="97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85" orientation="portrait" r:id="rId1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002060"/>
    <pageSetUpPr fitToPage="1"/>
  </sheetPr>
  <dimension ref="B2:L75"/>
  <sheetViews>
    <sheetView showGridLines="0" workbookViewId="0">
      <selection activeCell="B72" sqref="B72"/>
    </sheetView>
  </sheetViews>
  <sheetFormatPr defaultColWidth="11.42578125" defaultRowHeight="12.95"/>
  <cols>
    <col min="1" max="1" width="7.42578125" style="96" customWidth="1"/>
    <col min="2" max="2" width="71.85546875" style="96" customWidth="1"/>
    <col min="3" max="3" width="5.5703125" style="96" customWidth="1"/>
    <col min="4" max="5" width="12.42578125" style="96" bestFit="1" customWidth="1"/>
    <col min="6" max="6" width="4.85546875" style="96" customWidth="1"/>
    <col min="7" max="7" width="12.5703125" style="276" bestFit="1" customWidth="1"/>
    <col min="8" max="8" width="11.42578125" style="278"/>
    <col min="9" max="16384" width="11.42578125" style="96"/>
  </cols>
  <sheetData>
    <row r="2" spans="2:12" ht="13.5" thickBot="1"/>
    <row r="3" spans="2:12" s="97" customFormat="1" ht="12" customHeight="1">
      <c r="B3" s="497" t="s">
        <v>366</v>
      </c>
      <c r="C3" s="499" t="s">
        <v>289</v>
      </c>
      <c r="D3" s="383">
        <f>+[8]Flujo!$D$3</f>
        <v>44742</v>
      </c>
      <c r="E3" s="384">
        <f>+[8]Flujo!$E$3</f>
        <v>44377</v>
      </c>
      <c r="G3" s="494" t="s">
        <v>290</v>
      </c>
      <c r="H3" s="495"/>
    </row>
    <row r="4" spans="2:12" s="97" customFormat="1" ht="12" customHeight="1">
      <c r="B4" s="498"/>
      <c r="C4" s="500"/>
      <c r="D4" s="385" t="s">
        <v>115</v>
      </c>
      <c r="E4" s="386" t="s">
        <v>115</v>
      </c>
      <c r="G4" s="286" t="s">
        <v>115</v>
      </c>
      <c r="H4" s="287" t="s">
        <v>187</v>
      </c>
    </row>
    <row r="5" spans="2:12" s="100" customFormat="1" ht="21" customHeight="1">
      <c r="B5" s="436" t="s">
        <v>367</v>
      </c>
      <c r="C5" s="94"/>
      <c r="D5" s="387">
        <f>+[8]Flujo!D5</f>
        <v>329481280</v>
      </c>
      <c r="E5" s="387">
        <f>+[6]Flujo!E5</f>
        <v>301818554</v>
      </c>
      <c r="F5" s="99"/>
      <c r="G5" s="267">
        <f>ROUND(+(D5-E5),0)</f>
        <v>27662726</v>
      </c>
      <c r="H5" s="288">
        <f>+IFERROR(G5/E5,1)</f>
        <v>9.1653497220054933E-2</v>
      </c>
      <c r="K5" s="264"/>
      <c r="L5" s="264"/>
    </row>
    <row r="6" spans="2:12" s="100" customFormat="1" ht="21" hidden="1" customHeight="1">
      <c r="B6" s="437" t="s">
        <v>368</v>
      </c>
      <c r="C6" s="94"/>
      <c r="D6" s="387">
        <f>+[3]Flujo!D6</f>
        <v>0</v>
      </c>
      <c r="E6" s="387">
        <f>+[3]Flujo!E6</f>
        <v>0</v>
      </c>
      <c r="F6" s="99"/>
      <c r="G6" s="267">
        <f t="shared" ref="G6:G63" si="0">ROUND(+(D6-E6),0)</f>
        <v>0</v>
      </c>
      <c r="H6" s="288"/>
    </row>
    <row r="7" spans="2:12" s="100" customFormat="1" ht="21" hidden="1" customHeight="1">
      <c r="B7" s="437" t="s">
        <v>369</v>
      </c>
      <c r="C7" s="94"/>
      <c r="D7" s="387">
        <f>+[3]Flujo!D7</f>
        <v>0</v>
      </c>
      <c r="E7" s="387">
        <f>+[3]Flujo!E7</f>
        <v>0</v>
      </c>
      <c r="F7" s="99"/>
      <c r="G7" s="267">
        <f t="shared" si="0"/>
        <v>0</v>
      </c>
      <c r="H7" s="288"/>
    </row>
    <row r="8" spans="2:12" s="100" customFormat="1" ht="21" customHeight="1">
      <c r="B8" s="437" t="s">
        <v>370</v>
      </c>
      <c r="C8" s="94"/>
      <c r="D8" s="387">
        <f>+[8]Flujo!D8</f>
        <v>0</v>
      </c>
      <c r="E8" s="387">
        <v>0</v>
      </c>
      <c r="F8" s="99"/>
      <c r="G8" s="267">
        <f t="shared" si="0"/>
        <v>0</v>
      </c>
      <c r="H8" s="288">
        <f t="shared" ref="H8:H65" si="1">+IFERROR(G8/E8,1)</f>
        <v>1</v>
      </c>
      <c r="K8" s="264"/>
      <c r="L8" s="264"/>
    </row>
    <row r="9" spans="2:12" s="100" customFormat="1" ht="21" customHeight="1">
      <c r="B9" s="436" t="s">
        <v>371</v>
      </c>
      <c r="C9" s="94"/>
      <c r="D9" s="387">
        <f>+[8]Flujo!D9</f>
        <v>3280383</v>
      </c>
      <c r="E9" s="387">
        <f>+[6]Flujo!E9</f>
        <v>2435435</v>
      </c>
      <c r="F9" s="99"/>
      <c r="G9" s="267">
        <f t="shared" si="0"/>
        <v>844948</v>
      </c>
      <c r="H9" s="288">
        <f t="shared" si="1"/>
        <v>0.34693925315190099</v>
      </c>
      <c r="K9" s="264"/>
      <c r="L9" s="264"/>
    </row>
    <row r="10" spans="2:12" s="100" customFormat="1" ht="21" customHeight="1">
      <c r="B10" s="380" t="s">
        <v>372</v>
      </c>
      <c r="C10" s="94"/>
      <c r="D10" s="387" t="e">
        <f>+[8]Flujo!D10</f>
        <v>#REF!</v>
      </c>
      <c r="E10" s="387">
        <v>0</v>
      </c>
      <c r="F10" s="99"/>
      <c r="G10" s="268" t="e">
        <f t="shared" si="0"/>
        <v>#REF!</v>
      </c>
      <c r="H10" s="290">
        <f t="shared" si="1"/>
        <v>1</v>
      </c>
      <c r="K10" s="264"/>
      <c r="L10" s="264"/>
    </row>
    <row r="11" spans="2:12" s="100" customFormat="1" ht="21" customHeight="1">
      <c r="B11" s="436" t="s">
        <v>373</v>
      </c>
      <c r="C11" s="94"/>
      <c r="D11" s="387">
        <f>+[8]Flujo!D11</f>
        <v>-117390128</v>
      </c>
      <c r="E11" s="387">
        <f>+[6]Flujo!E11</f>
        <v>-84397714</v>
      </c>
      <c r="F11" s="99"/>
      <c r="G11" s="267">
        <f t="shared" si="0"/>
        <v>-32992414</v>
      </c>
      <c r="H11" s="288">
        <f t="shared" si="1"/>
        <v>0.39091596722631611</v>
      </c>
      <c r="K11" s="264"/>
      <c r="L11" s="264"/>
    </row>
    <row r="12" spans="2:12" s="100" customFormat="1" ht="21" hidden="1" customHeight="1">
      <c r="B12" s="436" t="s">
        <v>374</v>
      </c>
      <c r="C12" s="94"/>
      <c r="D12" s="387">
        <f>+[8]Flujo!D12</f>
        <v>0</v>
      </c>
      <c r="E12" s="387" t="e">
        <f>+[8]Flujo!E12</f>
        <v>#REF!</v>
      </c>
      <c r="F12" s="99"/>
      <c r="G12" s="267" t="e">
        <f t="shared" si="0"/>
        <v>#REF!</v>
      </c>
      <c r="H12" s="288">
        <f t="shared" si="1"/>
        <v>1</v>
      </c>
      <c r="K12" s="264"/>
      <c r="L12" s="264"/>
    </row>
    <row r="13" spans="2:12" s="100" customFormat="1" ht="21" customHeight="1">
      <c r="B13" s="436" t="s">
        <v>375</v>
      </c>
      <c r="C13" s="95"/>
      <c r="D13" s="387">
        <f>+[8]Flujo!D13</f>
        <v>-33089016</v>
      </c>
      <c r="E13" s="387">
        <f>+[6]Flujo!E13</f>
        <v>-31266751</v>
      </c>
      <c r="F13" s="99"/>
      <c r="G13" s="267">
        <f t="shared" si="0"/>
        <v>-1822265</v>
      </c>
      <c r="H13" s="288">
        <f t="shared" si="1"/>
        <v>5.8281239390686933E-2</v>
      </c>
      <c r="K13" s="264"/>
      <c r="L13" s="264"/>
    </row>
    <row r="14" spans="2:12" s="100" customFormat="1" ht="21" customHeight="1">
      <c r="B14" s="436" t="s">
        <v>376</v>
      </c>
      <c r="C14" s="94"/>
      <c r="D14" s="387">
        <f>+[8]Flujo!D14</f>
        <v>-736644</v>
      </c>
      <c r="E14" s="387">
        <f>+[6]Flujo!E14</f>
        <v>-62136</v>
      </c>
      <c r="F14" s="99"/>
      <c r="G14" s="267">
        <f t="shared" si="0"/>
        <v>-674508</v>
      </c>
      <c r="H14" s="288">
        <f t="shared" si="1"/>
        <v>10.855349555813055</v>
      </c>
      <c r="K14" s="264"/>
      <c r="L14" s="264"/>
    </row>
    <row r="15" spans="2:12" s="100" customFormat="1" ht="21" customHeight="1">
      <c r="B15" s="436" t="s">
        <v>377</v>
      </c>
      <c r="C15" s="94"/>
      <c r="D15" s="387">
        <f>+[8]Flujo!D15</f>
        <v>-26045738</v>
      </c>
      <c r="E15" s="387">
        <f>+[6]Flujo!E15</f>
        <v>-26413153</v>
      </c>
      <c r="F15" s="99"/>
      <c r="G15" s="267">
        <f t="shared" si="0"/>
        <v>367415</v>
      </c>
      <c r="H15" s="288">
        <f t="shared" si="1"/>
        <v>-1.3910304460811627E-2</v>
      </c>
      <c r="K15" s="264"/>
      <c r="L15" s="264"/>
    </row>
    <row r="16" spans="2:12" s="100" customFormat="1" ht="21" customHeight="1">
      <c r="B16" s="438" t="s">
        <v>378</v>
      </c>
      <c r="C16" s="94"/>
      <c r="D16" s="390" t="e">
        <f>SUM(D5:D15)</f>
        <v>#REF!</v>
      </c>
      <c r="E16" s="389" t="e">
        <f>SUM(E5:E15)</f>
        <v>#REF!</v>
      </c>
      <c r="F16" s="99"/>
      <c r="G16" s="268" t="e">
        <f t="shared" si="0"/>
        <v>#REF!</v>
      </c>
      <c r="H16" s="290">
        <f t="shared" si="1"/>
        <v>1</v>
      </c>
      <c r="K16" s="264"/>
      <c r="L16" s="264"/>
    </row>
    <row r="17" spans="2:12" s="100" customFormat="1" ht="21" hidden="1" customHeight="1">
      <c r="B17" s="438" t="s">
        <v>379</v>
      </c>
      <c r="C17" s="94"/>
      <c r="D17" s="387" t="e">
        <f>+[8]Flujo!D17</f>
        <v>#REF!</v>
      </c>
      <c r="E17" s="387">
        <f>+[6]Flujo!E17</f>
        <v>0</v>
      </c>
      <c r="F17" s="99"/>
      <c r="G17" s="268" t="e">
        <f t="shared" ref="G17" si="2">ROUND(+(D17-E17),0)</f>
        <v>#REF!</v>
      </c>
      <c r="H17" s="290">
        <f t="shared" ref="H17" si="3">+IFERROR(G17/E17,1)</f>
        <v>1</v>
      </c>
      <c r="K17" s="264"/>
      <c r="L17" s="264"/>
    </row>
    <row r="18" spans="2:12" s="100" customFormat="1" ht="21" hidden="1" customHeight="1">
      <c r="B18" s="436" t="s">
        <v>380</v>
      </c>
      <c r="C18" s="94"/>
      <c r="D18" s="387"/>
      <c r="E18" s="388"/>
      <c r="F18" s="99"/>
      <c r="G18" s="267"/>
      <c r="H18" s="288">
        <f t="shared" si="1"/>
        <v>1</v>
      </c>
      <c r="K18" s="264"/>
      <c r="L18" s="264"/>
    </row>
    <row r="19" spans="2:12" s="100" customFormat="1" ht="21" hidden="1" customHeight="1">
      <c r="B19" s="436" t="s">
        <v>381</v>
      </c>
      <c r="C19" s="94"/>
      <c r="D19" s="387"/>
      <c r="E19" s="388"/>
      <c r="F19" s="99"/>
      <c r="G19" s="267"/>
      <c r="H19" s="288">
        <f t="shared" si="1"/>
        <v>1</v>
      </c>
      <c r="K19" s="264"/>
      <c r="L19" s="264"/>
    </row>
    <row r="20" spans="2:12" s="100" customFormat="1" ht="21" customHeight="1">
      <c r="B20" s="439" t="s">
        <v>382</v>
      </c>
      <c r="C20" s="94"/>
      <c r="D20" s="387">
        <f>+[8]Flujo!D20</f>
        <v>-16577485</v>
      </c>
      <c r="E20" s="387">
        <f>+[6]Flujo!E20</f>
        <v>-13308955</v>
      </c>
      <c r="F20" s="99"/>
      <c r="G20" s="267">
        <f t="shared" si="0"/>
        <v>-3268530</v>
      </c>
      <c r="H20" s="288">
        <f t="shared" si="1"/>
        <v>0.24558877838267543</v>
      </c>
      <c r="K20" s="264"/>
      <c r="L20" s="264"/>
    </row>
    <row r="21" spans="2:12" s="100" customFormat="1" ht="21" customHeight="1">
      <c r="B21" s="440" t="s">
        <v>383</v>
      </c>
      <c r="C21" s="94"/>
      <c r="D21" s="387">
        <f>+[8]Flujo!D21</f>
        <v>3986890</v>
      </c>
      <c r="E21" s="387">
        <f>+[6]Flujo!E21</f>
        <v>284455</v>
      </c>
      <c r="F21" s="99"/>
      <c r="G21" s="267">
        <f t="shared" si="0"/>
        <v>3702435</v>
      </c>
      <c r="H21" s="288">
        <f t="shared" si="1"/>
        <v>13.01589003533072</v>
      </c>
      <c r="K21" s="264"/>
      <c r="L21" s="264"/>
    </row>
    <row r="22" spans="2:12" s="100" customFormat="1" ht="21" customHeight="1">
      <c r="B22" s="440" t="s">
        <v>384</v>
      </c>
      <c r="C22" s="94"/>
      <c r="D22" s="387">
        <f>+[8]Flujo!D22</f>
        <v>-12308928</v>
      </c>
      <c r="E22" s="387">
        <f>+[6]Flujo!E22</f>
        <v>-24741625</v>
      </c>
      <c r="F22" s="99"/>
      <c r="G22" s="267">
        <f t="shared" si="0"/>
        <v>12432697</v>
      </c>
      <c r="H22" s="288">
        <f t="shared" si="1"/>
        <v>-0.5025012302142644</v>
      </c>
      <c r="K22" s="264"/>
      <c r="L22" s="264"/>
    </row>
    <row r="23" spans="2:12" s="100" customFormat="1" ht="21" customHeight="1" thickBot="1">
      <c r="B23" s="440" t="s">
        <v>385</v>
      </c>
      <c r="C23" s="94"/>
      <c r="D23" s="387">
        <f>+[8]Flujo!D23</f>
        <v>-2362785</v>
      </c>
      <c r="E23" s="387">
        <f>+[6]Flujo!E23</f>
        <v>-11582592</v>
      </c>
      <c r="F23" s="99"/>
      <c r="G23" s="268">
        <f t="shared" ref="G23" si="4">ROUND(+(D23-E23),0)</f>
        <v>9219807</v>
      </c>
      <c r="H23" s="290">
        <f t="shared" ref="H23" si="5">+IFERROR(G23/E23,1)</f>
        <v>-0.79600550550343141</v>
      </c>
      <c r="K23" s="264"/>
      <c r="L23" s="264"/>
    </row>
    <row r="24" spans="2:12" s="100" customFormat="1" ht="21" customHeight="1" thickBot="1">
      <c r="B24" s="441" t="s">
        <v>378</v>
      </c>
      <c r="C24" s="101"/>
      <c r="D24" s="391" t="e">
        <f>SUM(D16:D23)</f>
        <v>#REF!</v>
      </c>
      <c r="E24" s="392" t="e">
        <f>SUM(E16:E23)</f>
        <v>#REF!</v>
      </c>
      <c r="F24" s="99"/>
      <c r="G24" s="282" t="e">
        <f t="shared" si="0"/>
        <v>#REF!</v>
      </c>
      <c r="H24" s="291">
        <f t="shared" si="1"/>
        <v>1</v>
      </c>
      <c r="K24" s="264"/>
      <c r="L24" s="264"/>
    </row>
    <row r="25" spans="2:12" s="100" customFormat="1" ht="21" customHeight="1">
      <c r="B25" s="436" t="s">
        <v>386</v>
      </c>
      <c r="C25" s="98"/>
      <c r="D25" s="387">
        <v>0</v>
      </c>
      <c r="E25" s="387">
        <v>0</v>
      </c>
      <c r="F25" s="99"/>
      <c r="G25" s="267">
        <f t="shared" si="0"/>
        <v>0</v>
      </c>
      <c r="H25" s="288">
        <f t="shared" si="1"/>
        <v>1</v>
      </c>
      <c r="K25" s="264"/>
      <c r="L25" s="264"/>
    </row>
    <row r="26" spans="2:12" s="100" customFormat="1" ht="21" hidden="1" customHeight="1">
      <c r="B26" s="436" t="s">
        <v>387</v>
      </c>
      <c r="C26" s="98"/>
      <c r="D26" s="387"/>
      <c r="E26" s="387"/>
      <c r="F26" s="99"/>
      <c r="G26" s="267">
        <f t="shared" si="0"/>
        <v>0</v>
      </c>
      <c r="H26" s="288">
        <f t="shared" si="1"/>
        <v>1</v>
      </c>
      <c r="K26" s="264"/>
      <c r="L26" s="264"/>
    </row>
    <row r="27" spans="2:12" s="100" customFormat="1" ht="21" hidden="1" customHeight="1">
      <c r="B27" s="436" t="s">
        <v>388</v>
      </c>
      <c r="C27" s="98"/>
      <c r="D27" s="387"/>
      <c r="E27" s="387"/>
      <c r="F27" s="99"/>
      <c r="G27" s="267">
        <f t="shared" si="0"/>
        <v>0</v>
      </c>
      <c r="H27" s="288">
        <f t="shared" si="1"/>
        <v>1</v>
      </c>
      <c r="K27" s="264"/>
      <c r="L27" s="264"/>
    </row>
    <row r="28" spans="2:12" s="100" customFormat="1" ht="21" hidden="1" customHeight="1">
      <c r="B28" s="436" t="s">
        <v>389</v>
      </c>
      <c r="C28" s="98"/>
      <c r="D28" s="387"/>
      <c r="E28" s="387"/>
      <c r="F28" s="99"/>
      <c r="G28" s="267">
        <f t="shared" si="0"/>
        <v>0</v>
      </c>
      <c r="H28" s="288">
        <f t="shared" si="1"/>
        <v>1</v>
      </c>
      <c r="K28" s="264"/>
      <c r="L28" s="264"/>
    </row>
    <row r="29" spans="2:12" s="100" customFormat="1" ht="21" hidden="1" customHeight="1">
      <c r="B29" s="436" t="s">
        <v>390</v>
      </c>
      <c r="C29" s="98"/>
      <c r="D29" s="387"/>
      <c r="E29" s="387"/>
      <c r="F29" s="99"/>
      <c r="G29" s="267">
        <f t="shared" si="0"/>
        <v>0</v>
      </c>
      <c r="H29" s="288">
        <f t="shared" si="1"/>
        <v>1</v>
      </c>
      <c r="K29" s="264"/>
      <c r="L29" s="264"/>
    </row>
    <row r="30" spans="2:12" s="100" customFormat="1" ht="21" hidden="1" customHeight="1">
      <c r="B30" s="436" t="s">
        <v>391</v>
      </c>
      <c r="C30" s="98"/>
      <c r="D30" s="387"/>
      <c r="E30" s="387"/>
      <c r="F30" s="99"/>
      <c r="G30" s="267">
        <f t="shared" si="0"/>
        <v>0</v>
      </c>
      <c r="H30" s="288">
        <f t="shared" si="1"/>
        <v>1</v>
      </c>
      <c r="K30" s="264"/>
      <c r="L30" s="264"/>
    </row>
    <row r="31" spans="2:12" s="100" customFormat="1" ht="21" hidden="1" customHeight="1">
      <c r="B31" s="436" t="s">
        <v>392</v>
      </c>
      <c r="C31" s="98"/>
      <c r="D31" s="387"/>
      <c r="E31" s="387"/>
      <c r="F31" s="99"/>
      <c r="G31" s="267">
        <f t="shared" si="0"/>
        <v>0</v>
      </c>
      <c r="H31" s="288">
        <f t="shared" si="1"/>
        <v>1</v>
      </c>
      <c r="K31" s="264"/>
      <c r="L31" s="264"/>
    </row>
    <row r="32" spans="2:12" s="100" customFormat="1" ht="21" hidden="1" customHeight="1">
      <c r="B32" s="436" t="s">
        <v>393</v>
      </c>
      <c r="C32" s="98"/>
      <c r="D32" s="387"/>
      <c r="E32" s="387"/>
      <c r="F32" s="99"/>
      <c r="G32" s="267">
        <f t="shared" si="0"/>
        <v>0</v>
      </c>
      <c r="H32" s="288">
        <f t="shared" si="1"/>
        <v>1</v>
      </c>
      <c r="K32" s="264"/>
      <c r="L32" s="264"/>
    </row>
    <row r="33" spans="2:12" s="100" customFormat="1" ht="21" customHeight="1">
      <c r="B33" s="436" t="s">
        <v>394</v>
      </c>
      <c r="C33" s="98"/>
      <c r="D33" s="387">
        <f>+[8]Flujo!D33</f>
        <v>252623</v>
      </c>
      <c r="E33" s="387">
        <f>+[6]Flujo!E33</f>
        <v>4433552</v>
      </c>
      <c r="F33" s="99"/>
      <c r="G33" s="267">
        <f t="shared" si="0"/>
        <v>-4180929</v>
      </c>
      <c r="H33" s="288">
        <f t="shared" si="1"/>
        <v>-0.9430201788543362</v>
      </c>
      <c r="K33" s="264"/>
      <c r="L33" s="264"/>
    </row>
    <row r="34" spans="2:12" s="100" customFormat="1" ht="21" customHeight="1">
      <c r="B34" s="436" t="s">
        <v>395</v>
      </c>
      <c r="C34" s="98"/>
      <c r="D34" s="387">
        <f>+[8]Flujo!D34</f>
        <v>-70956695</v>
      </c>
      <c r="E34" s="387">
        <f>+[6]Flujo!E34</f>
        <v>-81336395</v>
      </c>
      <c r="F34" s="99"/>
      <c r="G34" s="267">
        <f t="shared" si="0"/>
        <v>10379700</v>
      </c>
      <c r="H34" s="288">
        <f t="shared" si="1"/>
        <v>-0.12761445844753755</v>
      </c>
      <c r="K34" s="264"/>
      <c r="L34" s="264"/>
    </row>
    <row r="35" spans="2:12" s="100" customFormat="1" ht="21" hidden="1" customHeight="1">
      <c r="B35" s="436" t="s">
        <v>396</v>
      </c>
      <c r="C35" s="98"/>
      <c r="D35" s="387">
        <f>+[3]Flujo!D35</f>
        <v>0</v>
      </c>
      <c r="E35" s="387">
        <f>+[3]Flujo!E35</f>
        <v>0</v>
      </c>
      <c r="F35" s="99"/>
      <c r="G35" s="267">
        <f t="shared" si="0"/>
        <v>0</v>
      </c>
      <c r="H35" s="288">
        <f t="shared" si="1"/>
        <v>1</v>
      </c>
      <c r="K35" s="264"/>
      <c r="L35" s="264"/>
    </row>
    <row r="36" spans="2:12" s="100" customFormat="1" ht="21" customHeight="1">
      <c r="B36" s="436" t="s">
        <v>397</v>
      </c>
      <c r="C36" s="98"/>
      <c r="D36" s="387">
        <f>+[8]Flujo!D36</f>
        <v>-7102465</v>
      </c>
      <c r="E36" s="387">
        <f>+[6]Flujo!E36</f>
        <v>-1753679</v>
      </c>
      <c r="F36" s="99"/>
      <c r="G36" s="267">
        <f t="shared" si="0"/>
        <v>-5348786</v>
      </c>
      <c r="H36" s="288">
        <f t="shared" si="1"/>
        <v>3.0500370934475467</v>
      </c>
      <c r="K36" s="264"/>
      <c r="L36" s="264"/>
    </row>
    <row r="37" spans="2:12" s="100" customFormat="1" ht="21" hidden="1" customHeight="1">
      <c r="B37" s="437" t="s">
        <v>398</v>
      </c>
      <c r="C37" s="98"/>
      <c r="D37" s="387"/>
      <c r="E37" s="387"/>
      <c r="F37" s="99"/>
      <c r="G37" s="267">
        <f t="shared" si="0"/>
        <v>0</v>
      </c>
      <c r="H37" s="288">
        <f t="shared" si="1"/>
        <v>1</v>
      </c>
      <c r="K37" s="264"/>
      <c r="L37" s="264"/>
    </row>
    <row r="38" spans="2:12" s="100" customFormat="1" ht="21" hidden="1" customHeight="1">
      <c r="B38" s="437" t="s">
        <v>399</v>
      </c>
      <c r="C38" s="98"/>
      <c r="D38" s="387"/>
      <c r="E38" s="387"/>
      <c r="F38" s="99"/>
      <c r="G38" s="267">
        <f t="shared" si="0"/>
        <v>0</v>
      </c>
      <c r="H38" s="288">
        <f t="shared" si="1"/>
        <v>1</v>
      </c>
      <c r="K38" s="264"/>
      <c r="L38" s="264"/>
    </row>
    <row r="39" spans="2:12" s="100" customFormat="1" ht="21" hidden="1" customHeight="1">
      <c r="B39" s="437" t="s">
        <v>400</v>
      </c>
      <c r="C39" s="98"/>
      <c r="D39" s="387"/>
      <c r="E39" s="387"/>
      <c r="F39" s="99"/>
      <c r="G39" s="267">
        <f t="shared" si="0"/>
        <v>0</v>
      </c>
      <c r="H39" s="288">
        <f t="shared" si="1"/>
        <v>1</v>
      </c>
      <c r="K39" s="264"/>
      <c r="L39" s="264"/>
    </row>
    <row r="40" spans="2:12" s="100" customFormat="1" ht="21" hidden="1" customHeight="1">
      <c r="B40" s="437" t="s">
        <v>401</v>
      </c>
      <c r="C40" s="98"/>
      <c r="D40" s="387"/>
      <c r="E40" s="387"/>
      <c r="F40" s="99"/>
      <c r="G40" s="267">
        <f t="shared" si="0"/>
        <v>0</v>
      </c>
      <c r="H40" s="288">
        <f t="shared" si="1"/>
        <v>1</v>
      </c>
      <c r="K40" s="264"/>
      <c r="L40" s="264"/>
    </row>
    <row r="41" spans="2:12" s="100" customFormat="1" ht="21" hidden="1" customHeight="1">
      <c r="B41" s="437" t="s">
        <v>402</v>
      </c>
      <c r="C41" s="98"/>
      <c r="D41" s="387"/>
      <c r="E41" s="387"/>
      <c r="F41" s="99"/>
      <c r="G41" s="267">
        <f t="shared" si="0"/>
        <v>0</v>
      </c>
      <c r="H41" s="288">
        <f t="shared" si="1"/>
        <v>1</v>
      </c>
      <c r="K41" s="264"/>
      <c r="L41" s="264"/>
    </row>
    <row r="42" spans="2:12" s="100" customFormat="1" ht="21" hidden="1" customHeight="1">
      <c r="B42" s="437" t="s">
        <v>403</v>
      </c>
      <c r="C42" s="98"/>
      <c r="D42" s="387"/>
      <c r="E42" s="387"/>
      <c r="F42" s="99"/>
      <c r="G42" s="267">
        <f t="shared" si="0"/>
        <v>0</v>
      </c>
      <c r="H42" s="288">
        <f t="shared" si="1"/>
        <v>1</v>
      </c>
      <c r="K42" s="264"/>
      <c r="L42" s="264"/>
    </row>
    <row r="43" spans="2:12" s="100" customFormat="1" ht="21" hidden="1" customHeight="1">
      <c r="B43" s="437" t="s">
        <v>404</v>
      </c>
      <c r="C43" s="98"/>
      <c r="D43" s="387"/>
      <c r="E43" s="387"/>
      <c r="F43" s="99"/>
      <c r="G43" s="267">
        <f t="shared" si="0"/>
        <v>0</v>
      </c>
      <c r="H43" s="288">
        <f t="shared" si="1"/>
        <v>1</v>
      </c>
      <c r="K43" s="264"/>
      <c r="L43" s="264"/>
    </row>
    <row r="44" spans="2:12" s="100" customFormat="1" ht="21" hidden="1" customHeight="1">
      <c r="B44" s="437" t="s">
        <v>405</v>
      </c>
      <c r="C44" s="98"/>
      <c r="D44" s="387"/>
      <c r="E44" s="387"/>
      <c r="F44" s="99"/>
      <c r="G44" s="267">
        <f t="shared" si="0"/>
        <v>0</v>
      </c>
      <c r="H44" s="288">
        <f t="shared" si="1"/>
        <v>1</v>
      </c>
      <c r="K44" s="264"/>
      <c r="L44" s="264"/>
    </row>
    <row r="45" spans="2:12" s="100" customFormat="1" ht="21" hidden="1" customHeight="1">
      <c r="B45" s="437" t="s">
        <v>381</v>
      </c>
      <c r="C45" s="98"/>
      <c r="D45" s="387"/>
      <c r="E45" s="387"/>
      <c r="F45" s="99"/>
      <c r="G45" s="267">
        <f t="shared" si="0"/>
        <v>0</v>
      </c>
      <c r="H45" s="288">
        <f t="shared" si="1"/>
        <v>1</v>
      </c>
      <c r="K45" s="264"/>
      <c r="L45" s="264"/>
    </row>
    <row r="46" spans="2:12" s="100" customFormat="1" ht="21" hidden="1" customHeight="1">
      <c r="B46" s="437" t="s">
        <v>406</v>
      </c>
      <c r="C46" s="98"/>
      <c r="D46" s="387"/>
      <c r="E46" s="387"/>
      <c r="F46" s="99"/>
      <c r="G46" s="267">
        <f t="shared" si="0"/>
        <v>0</v>
      </c>
      <c r="H46" s="288">
        <f t="shared" si="1"/>
        <v>1</v>
      </c>
      <c r="K46" s="264"/>
      <c r="L46" s="264"/>
    </row>
    <row r="47" spans="2:12" s="100" customFormat="1" ht="21" hidden="1" customHeight="1">
      <c r="B47" s="437" t="s">
        <v>407</v>
      </c>
      <c r="C47" s="98"/>
      <c r="D47" s="387"/>
      <c r="E47" s="387"/>
      <c r="F47" s="99"/>
      <c r="G47" s="267">
        <f t="shared" si="0"/>
        <v>0</v>
      </c>
      <c r="H47" s="288">
        <f t="shared" si="1"/>
        <v>1</v>
      </c>
      <c r="K47" s="264"/>
      <c r="L47" s="264"/>
    </row>
    <row r="48" spans="2:12" s="100" customFormat="1" ht="21" customHeight="1" thickBot="1">
      <c r="B48" s="440" t="s">
        <v>385</v>
      </c>
      <c r="C48" s="98"/>
      <c r="D48" s="387">
        <f>+[8]Flujo!D48</f>
        <v>71517</v>
      </c>
      <c r="E48" s="387">
        <f>+[6]Flujo!E48</f>
        <v>0</v>
      </c>
      <c r="F48" s="99"/>
      <c r="G48" s="267">
        <f t="shared" si="0"/>
        <v>71517</v>
      </c>
      <c r="H48" s="288">
        <f t="shared" si="1"/>
        <v>1</v>
      </c>
      <c r="K48" s="264"/>
      <c r="L48" s="264"/>
    </row>
    <row r="49" spans="2:12" s="100" customFormat="1" ht="21" customHeight="1" thickBot="1">
      <c r="B49" s="442" t="s">
        <v>408</v>
      </c>
      <c r="C49" s="101"/>
      <c r="D49" s="391">
        <f>+SUM(D25:D48)</f>
        <v>-77735020</v>
      </c>
      <c r="E49" s="392">
        <f>+SUM(E25:E48)</f>
        <v>-78656522</v>
      </c>
      <c r="F49" s="99"/>
      <c r="G49" s="282">
        <f t="shared" si="0"/>
        <v>921502</v>
      </c>
      <c r="H49" s="291">
        <f t="shared" si="1"/>
        <v>-1.17155192801431E-2</v>
      </c>
      <c r="K49" s="264"/>
      <c r="L49" s="264"/>
    </row>
    <row r="50" spans="2:12" s="100" customFormat="1" ht="21" hidden="1" customHeight="1">
      <c r="B50" s="436" t="s">
        <v>409</v>
      </c>
      <c r="C50" s="98"/>
      <c r="D50" s="387"/>
      <c r="E50" s="388"/>
      <c r="F50" s="99"/>
      <c r="G50" s="267">
        <f t="shared" si="0"/>
        <v>0</v>
      </c>
      <c r="H50" s="288">
        <f t="shared" si="1"/>
        <v>1</v>
      </c>
      <c r="K50" s="264"/>
      <c r="L50" s="264"/>
    </row>
    <row r="51" spans="2:12" s="100" customFormat="1" ht="21" hidden="1" customHeight="1">
      <c r="B51" s="436" t="s">
        <v>410</v>
      </c>
      <c r="C51" s="98"/>
      <c r="D51" s="387"/>
      <c r="E51" s="388"/>
      <c r="F51" s="99"/>
      <c r="G51" s="267">
        <f t="shared" si="0"/>
        <v>0</v>
      </c>
      <c r="H51" s="288">
        <f t="shared" si="1"/>
        <v>1</v>
      </c>
      <c r="K51" s="264"/>
      <c r="L51" s="264"/>
    </row>
    <row r="52" spans="2:12" s="100" customFormat="1" ht="21" hidden="1" customHeight="1">
      <c r="B52" s="436" t="s">
        <v>411</v>
      </c>
      <c r="C52" s="98"/>
      <c r="D52" s="387"/>
      <c r="E52" s="388"/>
      <c r="F52" s="99"/>
      <c r="G52" s="267">
        <f t="shared" si="0"/>
        <v>0</v>
      </c>
      <c r="H52" s="288">
        <f t="shared" si="1"/>
        <v>1</v>
      </c>
      <c r="K52" s="264"/>
      <c r="L52" s="264"/>
    </row>
    <row r="53" spans="2:12" s="100" customFormat="1" ht="21" hidden="1" customHeight="1">
      <c r="B53" s="436" t="s">
        <v>412</v>
      </c>
      <c r="C53" s="98"/>
      <c r="D53" s="387"/>
      <c r="E53" s="388"/>
      <c r="F53" s="99"/>
      <c r="G53" s="267">
        <f t="shared" si="0"/>
        <v>0</v>
      </c>
      <c r="H53" s="288">
        <f t="shared" si="1"/>
        <v>1</v>
      </c>
      <c r="K53" s="264"/>
      <c r="L53" s="264"/>
    </row>
    <row r="54" spans="2:12" s="100" customFormat="1" ht="21" customHeight="1">
      <c r="B54" s="436" t="s">
        <v>413</v>
      </c>
      <c r="C54" s="98"/>
      <c r="D54" s="387">
        <f>+[8]Flujo!D54</f>
        <v>7433554</v>
      </c>
      <c r="E54" s="387">
        <f>+[6]Flujo!E54</f>
        <v>10234433</v>
      </c>
      <c r="F54" s="99"/>
      <c r="G54" s="267">
        <f t="shared" si="0"/>
        <v>-2800879</v>
      </c>
      <c r="H54" s="288">
        <f t="shared" si="1"/>
        <v>-0.27367212233447619</v>
      </c>
      <c r="K54" s="264"/>
      <c r="L54" s="264"/>
    </row>
    <row r="55" spans="2:12" s="100" customFormat="1" ht="21" hidden="1" customHeight="1">
      <c r="B55" s="436" t="s">
        <v>414</v>
      </c>
      <c r="C55" s="98"/>
      <c r="D55" s="387"/>
      <c r="E55" s="388"/>
      <c r="F55" s="99"/>
      <c r="G55" s="267">
        <f t="shared" si="0"/>
        <v>0</v>
      </c>
      <c r="H55" s="288">
        <f t="shared" si="1"/>
        <v>1</v>
      </c>
      <c r="K55" s="264"/>
      <c r="L55" s="264"/>
    </row>
    <row r="56" spans="2:12" s="100" customFormat="1" ht="21" customHeight="1">
      <c r="B56" s="438" t="s">
        <v>415</v>
      </c>
      <c r="C56" s="98"/>
      <c r="D56" s="393">
        <f>SUM(D54:D55)</f>
        <v>7433554</v>
      </c>
      <c r="E56" s="393">
        <f>SUM(E54:E55)</f>
        <v>10234433</v>
      </c>
      <c r="F56" s="99"/>
      <c r="G56" s="268">
        <f t="shared" si="0"/>
        <v>-2800879</v>
      </c>
      <c r="H56" s="292">
        <f t="shared" si="1"/>
        <v>-0.27367212233447619</v>
      </c>
      <c r="K56" s="264"/>
      <c r="L56" s="264"/>
    </row>
    <row r="57" spans="2:12" s="100" customFormat="1" ht="21" hidden="1" customHeight="1">
      <c r="B57" s="436" t="s">
        <v>416</v>
      </c>
      <c r="C57" s="98"/>
      <c r="D57" s="387"/>
      <c r="E57" s="388"/>
      <c r="F57" s="99"/>
      <c r="G57" s="267">
        <f t="shared" si="0"/>
        <v>0</v>
      </c>
      <c r="H57" s="288">
        <f t="shared" si="1"/>
        <v>1</v>
      </c>
      <c r="K57" s="264"/>
      <c r="L57" s="264"/>
    </row>
    <row r="58" spans="2:12" s="100" customFormat="1" ht="21" customHeight="1">
      <c r="B58" s="436" t="s">
        <v>417</v>
      </c>
      <c r="C58" s="98"/>
      <c r="D58" s="387">
        <f>+[8]Flujo!D58</f>
        <v>-32647594</v>
      </c>
      <c r="E58" s="387">
        <f>+[6]Flujo!E58</f>
        <v>-16512899</v>
      </c>
      <c r="F58" s="99"/>
      <c r="G58" s="267">
        <f t="shared" si="0"/>
        <v>-16134695</v>
      </c>
      <c r="H58" s="289">
        <f t="shared" si="1"/>
        <v>0.97709645047789606</v>
      </c>
      <c r="K58" s="264"/>
      <c r="L58" s="264"/>
    </row>
    <row r="59" spans="2:12" s="100" customFormat="1" ht="21" hidden="1" customHeight="1">
      <c r="B59" s="436" t="s">
        <v>418</v>
      </c>
      <c r="C59" s="98"/>
      <c r="D59" s="387">
        <f>+[3]Flujo!D59</f>
        <v>0</v>
      </c>
      <c r="E59" s="387">
        <f>+[3]Flujo!E59</f>
        <v>0</v>
      </c>
      <c r="F59" s="99"/>
      <c r="G59" s="267">
        <f t="shared" si="0"/>
        <v>0</v>
      </c>
      <c r="H59" s="289">
        <f t="shared" si="1"/>
        <v>1</v>
      </c>
      <c r="K59" s="264"/>
      <c r="L59" s="264"/>
    </row>
    <row r="60" spans="2:12" s="100" customFormat="1" ht="21" hidden="1" customHeight="1">
      <c r="B60" s="436" t="s">
        <v>419</v>
      </c>
      <c r="C60" s="98"/>
      <c r="D60" s="387">
        <f>+[3]Flujo!D60</f>
        <v>0</v>
      </c>
      <c r="E60" s="387">
        <f>+[3]Flujo!E60</f>
        <v>0</v>
      </c>
      <c r="F60" s="99"/>
      <c r="G60" s="267">
        <f t="shared" si="0"/>
        <v>0</v>
      </c>
      <c r="H60" s="289">
        <f t="shared" si="1"/>
        <v>1</v>
      </c>
      <c r="K60" s="264"/>
      <c r="L60" s="264"/>
    </row>
    <row r="61" spans="2:12" s="100" customFormat="1" ht="21" hidden="1" customHeight="1">
      <c r="B61" s="436" t="s">
        <v>400</v>
      </c>
      <c r="C61" s="98"/>
      <c r="D61" s="387">
        <f>+[3]Flujo!D61</f>
        <v>0</v>
      </c>
      <c r="E61" s="387">
        <f>+[3]Flujo!E61</f>
        <v>0</v>
      </c>
      <c r="F61" s="99"/>
      <c r="G61" s="267">
        <f t="shared" si="0"/>
        <v>0</v>
      </c>
      <c r="H61" s="289">
        <f t="shared" si="1"/>
        <v>1</v>
      </c>
      <c r="K61" s="264"/>
      <c r="L61" s="264"/>
    </row>
    <row r="62" spans="2:12" s="100" customFormat="1" ht="21" customHeight="1">
      <c r="B62" s="436" t="s">
        <v>420</v>
      </c>
      <c r="C62" s="98"/>
      <c r="D62" s="387">
        <f>+[8]Flujo!D62</f>
        <v>-41402566</v>
      </c>
      <c r="E62" s="387">
        <f>+[6]Flujo!E62</f>
        <v>-67886012</v>
      </c>
      <c r="F62" s="99"/>
      <c r="G62" s="267">
        <f t="shared" si="0"/>
        <v>26483446</v>
      </c>
      <c r="H62" s="289">
        <f t="shared" si="1"/>
        <v>-0.39011639098788126</v>
      </c>
      <c r="I62" s="402">
        <v>43000049</v>
      </c>
      <c r="J62" s="100">
        <f>+I62*50.10234%</f>
        <v>21544030.750146601</v>
      </c>
      <c r="K62" s="264" t="s">
        <v>421</v>
      </c>
      <c r="L62" s="264"/>
    </row>
    <row r="63" spans="2:12" s="100" customFormat="1" ht="21" customHeight="1">
      <c r="B63" s="379" t="s">
        <v>422</v>
      </c>
      <c r="C63" s="98"/>
      <c r="D63" s="387">
        <f>+[8]Flujo!D63</f>
        <v>-2485</v>
      </c>
      <c r="E63" s="387">
        <f>+[6]Flujo!E63</f>
        <v>0</v>
      </c>
      <c r="F63" s="99"/>
      <c r="G63" s="267">
        <f t="shared" si="0"/>
        <v>-2485</v>
      </c>
      <c r="H63" s="288">
        <f t="shared" si="1"/>
        <v>1</v>
      </c>
      <c r="J63" s="99">
        <f>+I62-J62</f>
        <v>21456018.249853399</v>
      </c>
      <c r="K63" s="264" t="s">
        <v>423</v>
      </c>
      <c r="L63" s="264"/>
    </row>
    <row r="64" spans="2:12" s="100" customFormat="1" ht="21" hidden="1" customHeight="1">
      <c r="B64" s="379" t="s">
        <v>407</v>
      </c>
      <c r="C64" s="98"/>
      <c r="D64" s="387">
        <f>+[3]Flujo!D64</f>
        <v>0</v>
      </c>
      <c r="E64" s="388"/>
      <c r="F64" s="99"/>
      <c r="G64" s="267">
        <f t="shared" ref="G64:G72" si="6">ROUND(+(D64-E64),0)</f>
        <v>0</v>
      </c>
      <c r="H64" s="288">
        <f t="shared" si="1"/>
        <v>1</v>
      </c>
      <c r="K64" s="264"/>
      <c r="L64" s="264"/>
    </row>
    <row r="65" spans="2:12" s="100" customFormat="1" ht="21" customHeight="1" thickBot="1">
      <c r="B65" s="440" t="s">
        <v>424</v>
      </c>
      <c r="C65" s="98"/>
      <c r="D65" s="387">
        <f>+[8]Flujo!D65</f>
        <v>0</v>
      </c>
      <c r="E65" s="387">
        <f>+[6]Flujo!E65</f>
        <v>0</v>
      </c>
      <c r="F65" s="99"/>
      <c r="G65" s="267">
        <f t="shared" si="6"/>
        <v>0</v>
      </c>
      <c r="H65" s="288">
        <f t="shared" si="1"/>
        <v>1</v>
      </c>
      <c r="K65" s="264"/>
      <c r="L65" s="264"/>
    </row>
    <row r="66" spans="2:12" s="100" customFormat="1" ht="21" customHeight="1" thickBot="1">
      <c r="B66" s="442" t="s">
        <v>425</v>
      </c>
      <c r="C66" s="102"/>
      <c r="D66" s="391">
        <f>+SUM(D56:D65)</f>
        <v>-66619091</v>
      </c>
      <c r="E66" s="392">
        <f>+SUM(E56:E65)</f>
        <v>-74164478</v>
      </c>
      <c r="F66" s="99"/>
      <c r="G66" s="282">
        <f t="shared" si="6"/>
        <v>7545387</v>
      </c>
      <c r="H66" s="291">
        <f t="shared" ref="H66:H72" si="7">+IFERROR(G66/E66,1)</f>
        <v>-0.10173855737243913</v>
      </c>
      <c r="K66" s="264"/>
      <c r="L66" s="264"/>
    </row>
    <row r="67" spans="2:12" s="100" customFormat="1" ht="21" hidden="1" customHeight="1">
      <c r="B67" s="381" t="s">
        <v>426</v>
      </c>
      <c r="C67" s="102"/>
      <c r="D67" s="391" t="e">
        <f>+D24+D49+D66</f>
        <v>#REF!</v>
      </c>
      <c r="E67" s="392" t="e">
        <f>+E24+E49+E66</f>
        <v>#REF!</v>
      </c>
      <c r="F67" s="99"/>
      <c r="G67" s="267" t="e">
        <f t="shared" si="6"/>
        <v>#REF!</v>
      </c>
      <c r="H67" s="288">
        <f t="shared" si="7"/>
        <v>1</v>
      </c>
      <c r="K67" s="264"/>
      <c r="L67" s="264"/>
    </row>
    <row r="68" spans="2:12" s="100" customFormat="1" ht="21" hidden="1" customHeight="1">
      <c r="B68" s="382" t="s">
        <v>427</v>
      </c>
      <c r="C68" s="101"/>
      <c r="D68" s="394"/>
      <c r="E68" s="395"/>
      <c r="F68" s="99"/>
      <c r="G68" s="267">
        <f t="shared" si="6"/>
        <v>0</v>
      </c>
      <c r="H68" s="288">
        <f t="shared" si="7"/>
        <v>1</v>
      </c>
      <c r="K68" s="264"/>
      <c r="L68" s="264"/>
    </row>
    <row r="69" spans="2:12" s="100" customFormat="1" ht="21" hidden="1" customHeight="1" thickBot="1">
      <c r="B69" s="379" t="s">
        <v>427</v>
      </c>
      <c r="C69" s="98"/>
      <c r="D69" s="387"/>
      <c r="E69" s="388"/>
      <c r="F69" s="99"/>
      <c r="G69" s="267">
        <f t="shared" si="6"/>
        <v>0</v>
      </c>
      <c r="H69" s="288">
        <f t="shared" si="7"/>
        <v>1</v>
      </c>
      <c r="K69" s="264"/>
      <c r="L69" s="264"/>
    </row>
    <row r="70" spans="2:12" s="100" customFormat="1" ht="21" customHeight="1" thickBot="1">
      <c r="B70" s="443" t="s">
        <v>428</v>
      </c>
      <c r="C70" s="102"/>
      <c r="D70" s="391" t="e">
        <f>+D67+D69</f>
        <v>#REF!</v>
      </c>
      <c r="E70" s="392" t="e">
        <f>+E67+E69</f>
        <v>#REF!</v>
      </c>
      <c r="F70" s="99"/>
      <c r="G70" s="282" t="e">
        <f t="shared" si="6"/>
        <v>#REF!</v>
      </c>
      <c r="H70" s="291">
        <f t="shared" si="7"/>
        <v>1</v>
      </c>
      <c r="K70" s="264"/>
      <c r="L70" s="264"/>
    </row>
    <row r="71" spans="2:12" s="100" customFormat="1" ht="21" customHeight="1" thickBot="1">
      <c r="B71" s="436" t="s">
        <v>429</v>
      </c>
      <c r="C71" s="98"/>
      <c r="D71" s="387">
        <f>+[8]Flujo!D71</f>
        <v>164558880</v>
      </c>
      <c r="E71" s="387">
        <f>+[6]Flujo!E71</f>
        <v>177964853</v>
      </c>
      <c r="F71" s="103"/>
      <c r="G71" s="267">
        <f t="shared" si="6"/>
        <v>-13405973</v>
      </c>
      <c r="H71" s="288">
        <f t="shared" si="7"/>
        <v>-7.5329329213111529E-2</v>
      </c>
      <c r="K71" s="264"/>
      <c r="L71" s="264"/>
    </row>
    <row r="72" spans="2:12" s="100" customFormat="1" ht="21" customHeight="1" thickBot="1">
      <c r="B72" s="443" t="s">
        <v>430</v>
      </c>
      <c r="C72" s="104">
        <v>4</v>
      </c>
      <c r="D72" s="396" t="e">
        <f>+D67+D71</f>
        <v>#REF!</v>
      </c>
      <c r="E72" s="397" t="e">
        <f>+E67+E71</f>
        <v>#REF!</v>
      </c>
      <c r="G72" s="282" t="e">
        <f t="shared" si="6"/>
        <v>#REF!</v>
      </c>
      <c r="H72" s="291">
        <f t="shared" si="7"/>
        <v>1</v>
      </c>
      <c r="K72" s="264"/>
      <c r="L72" s="264"/>
    </row>
    <row r="73" spans="2:12">
      <c r="D73" s="276"/>
      <c r="E73" s="276"/>
    </row>
    <row r="74" spans="2:12">
      <c r="B74" s="107"/>
      <c r="D74" s="294" t="e">
        <f>+D72-Balance!D6</f>
        <v>#REF!</v>
      </c>
      <c r="E74" s="294" t="e">
        <f>+E72-[6]Flujo!$E$72</f>
        <v>#REF!</v>
      </c>
    </row>
    <row r="75" spans="2:12">
      <c r="D75" s="276"/>
    </row>
  </sheetData>
  <mergeCells count="3">
    <mergeCell ref="B3:B4"/>
    <mergeCell ref="C3:C4"/>
    <mergeCell ref="G3:H3"/>
  </mergeCells>
  <pageMargins left="0.23622047244094491" right="0.27559055118110237" top="0.98425196850393704" bottom="0.98425196850393704" header="0" footer="0"/>
  <pageSetup scale="75" orientation="portrait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rgb="FF000066"/>
  </sheetPr>
  <dimension ref="B2:I26"/>
  <sheetViews>
    <sheetView showGridLines="0" workbookViewId="0">
      <selection activeCell="B23" sqref="B23"/>
    </sheetView>
  </sheetViews>
  <sheetFormatPr defaultColWidth="11.42578125" defaultRowHeight="12"/>
  <cols>
    <col min="1" max="1" width="11.42578125" style="117"/>
    <col min="2" max="2" width="45.5703125" style="117" bestFit="1" customWidth="1"/>
    <col min="3" max="3" width="14.28515625" style="334" bestFit="1" customWidth="1"/>
    <col min="4" max="4" width="14.28515625" style="117" bestFit="1" customWidth="1"/>
    <col min="5" max="5" width="13.42578125" style="117" bestFit="1" customWidth="1"/>
    <col min="6" max="6" width="13.85546875" style="117" bestFit="1" customWidth="1"/>
    <col min="7" max="16384" width="11.42578125" style="117"/>
  </cols>
  <sheetData>
    <row r="2" spans="2:9">
      <c r="B2" s="116" t="s">
        <v>431</v>
      </c>
      <c r="C2" s="331" t="s">
        <v>115</v>
      </c>
      <c r="F2" s="332"/>
      <c r="G2" s="333"/>
      <c r="H2" s="333"/>
      <c r="I2" s="332"/>
    </row>
    <row r="3" spans="2:9">
      <c r="B3" s="117" t="s">
        <v>432</v>
      </c>
      <c r="C3" s="334">
        <f>+cálculos!E69</f>
        <v>48989722</v>
      </c>
      <c r="F3" s="332"/>
      <c r="G3" s="332"/>
      <c r="H3" s="332"/>
      <c r="I3" s="332"/>
    </row>
    <row r="4" spans="2:9">
      <c r="B4" s="117" t="s">
        <v>433</v>
      </c>
      <c r="C4" s="334">
        <f>-cálculos!D69</f>
        <v>-28643815</v>
      </c>
    </row>
    <row r="5" spans="2:9">
      <c r="B5" s="142" t="s">
        <v>434</v>
      </c>
      <c r="C5" s="335">
        <f>+cálculos!C69</f>
        <v>21384076</v>
      </c>
      <c r="G5" s="305"/>
      <c r="H5" s="305"/>
      <c r="I5" s="306"/>
    </row>
    <row r="6" spans="2:9">
      <c r="B6" s="116" t="s">
        <v>435</v>
      </c>
      <c r="C6" s="336">
        <f>SUM(C3:C5)</f>
        <v>41729983</v>
      </c>
      <c r="G6" s="305"/>
      <c r="H6" s="305"/>
    </row>
    <row r="8" spans="2:9">
      <c r="B8" s="337" t="s">
        <v>436</v>
      </c>
    </row>
    <row r="9" spans="2:9">
      <c r="B9" s="116" t="s">
        <v>230</v>
      </c>
      <c r="C9" s="331" t="s">
        <v>115</v>
      </c>
    </row>
    <row r="10" spans="2:9">
      <c r="B10" s="117" t="str">
        <f>+B3</f>
        <v>Period 2021</v>
      </c>
      <c r="C10" s="334">
        <f>+cálculos!F20-cálculos!F21</f>
        <v>146743047</v>
      </c>
    </row>
    <row r="11" spans="2:9">
      <c r="B11" s="117" t="str">
        <f>+B4</f>
        <v>Acum Mar 2021</v>
      </c>
      <c r="C11" s="334">
        <f>-(+cálculos!E20-cálculos!E21)</f>
        <v>-85985932</v>
      </c>
    </row>
    <row r="12" spans="2:9">
      <c r="B12" s="142" t="str">
        <f>+B5</f>
        <v>Acum Mar 2022</v>
      </c>
      <c r="C12" s="335">
        <f>+cálculos!D20-cálculos!D21</f>
        <v>56671742</v>
      </c>
    </row>
    <row r="13" spans="2:9">
      <c r="B13" s="116" t="str">
        <f>+B6</f>
        <v>Period Mar 2021 - Mar 2022</v>
      </c>
      <c r="C13" s="336">
        <f>SUM(C10:C12)</f>
        <v>117428857</v>
      </c>
    </row>
    <row r="16" spans="2:9">
      <c r="B16" s="116" t="s">
        <v>232</v>
      </c>
      <c r="C16" s="331" t="s">
        <v>115</v>
      </c>
    </row>
    <row r="17" spans="2:5">
      <c r="B17" s="117" t="str">
        <f>+B3</f>
        <v>Period 2021</v>
      </c>
      <c r="C17" s="334">
        <f>-cálculos!F21</f>
        <v>27866277</v>
      </c>
    </row>
    <row r="18" spans="2:5">
      <c r="B18" s="117" t="str">
        <f>+B4</f>
        <v>Acum Mar 2021</v>
      </c>
      <c r="C18" s="334">
        <f>+cálculos!E21</f>
        <v>-13555311</v>
      </c>
    </row>
    <row r="19" spans="2:5">
      <c r="B19" s="142" t="str">
        <f>+B5</f>
        <v>Acum Mar 2022</v>
      </c>
      <c r="C19" s="335">
        <f>-cálculos!D21</f>
        <v>15977703</v>
      </c>
    </row>
    <row r="20" spans="2:5">
      <c r="B20" s="116" t="str">
        <f>+B13</f>
        <v>Period Mar 2021 - Mar 2022</v>
      </c>
      <c r="C20" s="336">
        <f>SUM(C17:C19)</f>
        <v>30288669</v>
      </c>
    </row>
    <row r="24" spans="2:5">
      <c r="C24" s="338"/>
      <c r="D24" s="339"/>
      <c r="E24" s="340"/>
    </row>
    <row r="25" spans="2:5">
      <c r="C25" s="341"/>
      <c r="D25" s="341"/>
      <c r="E25" s="341"/>
    </row>
    <row r="26" spans="2:5">
      <c r="C26" s="341"/>
      <c r="D26" s="341"/>
      <c r="E26" s="341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000066"/>
  </sheetPr>
  <dimension ref="B2"/>
  <sheetViews>
    <sheetView showGridLines="0" workbookViewId="0">
      <selection activeCell="F13" sqref="F13"/>
    </sheetView>
  </sheetViews>
  <sheetFormatPr defaultColWidth="10.85546875" defaultRowHeight="12.6"/>
  <sheetData>
    <row r="2" spans="2:2">
      <c r="B2" s="261" t="s">
        <v>437</v>
      </c>
    </row>
  </sheetData>
  <hyperlinks>
    <hyperlink ref="B2" r:id="rId1" location="/cierre_bursatil" xr:uid="{00000000-0004-0000-0E00-000000000000}"/>
  </hyperlinks>
  <pageMargins left="0.7" right="0.7" top="0.75" bottom="0.75" header="0.3" footer="0.3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0066"/>
  </sheetPr>
  <dimension ref="B3:J10"/>
  <sheetViews>
    <sheetView workbookViewId="0">
      <selection activeCell="F6" sqref="F6"/>
    </sheetView>
  </sheetViews>
  <sheetFormatPr defaultColWidth="10.85546875" defaultRowHeight="12.6"/>
  <sheetData>
    <row r="3" spans="2:10" ht="13.5" thickBot="1">
      <c r="B3" s="405"/>
      <c r="C3" s="406"/>
      <c r="D3" s="471" t="s">
        <v>35</v>
      </c>
      <c r="E3" s="471"/>
      <c r="F3" s="471"/>
      <c r="G3" s="32"/>
      <c r="H3" s="471" t="s">
        <v>36</v>
      </c>
      <c r="I3" s="471"/>
      <c r="J3" s="32"/>
    </row>
    <row r="4" spans="2:10" ht="12.95">
      <c r="B4" s="405"/>
      <c r="C4" s="406"/>
      <c r="D4" s="473" t="s">
        <v>38</v>
      </c>
      <c r="E4" s="473"/>
      <c r="F4" s="473" t="s">
        <v>39</v>
      </c>
      <c r="G4" s="32"/>
      <c r="H4" s="300" t="s">
        <v>38</v>
      </c>
      <c r="I4" s="473" t="s">
        <v>39</v>
      </c>
      <c r="J4" s="32"/>
    </row>
    <row r="5" spans="2:10" ht="12.95" thickBot="1">
      <c r="B5" s="407"/>
      <c r="C5" s="32"/>
      <c r="D5" s="471" t="s">
        <v>41</v>
      </c>
      <c r="E5" s="471"/>
      <c r="F5" s="474"/>
      <c r="G5" s="32"/>
      <c r="H5" s="316" t="s">
        <v>41</v>
      </c>
      <c r="I5" s="474"/>
      <c r="J5" s="32"/>
    </row>
    <row r="6" spans="2:10">
      <c r="B6" s="407"/>
      <c r="C6" s="32" t="s">
        <v>43</v>
      </c>
      <c r="D6" s="475">
        <v>118688209</v>
      </c>
      <c r="E6" s="475"/>
      <c r="F6" s="408">
        <v>0.42199999999999999</v>
      </c>
      <c r="G6" s="57"/>
      <c r="H6" s="19">
        <v>106045523</v>
      </c>
      <c r="I6" s="408">
        <v>0.41299999999999998</v>
      </c>
      <c r="J6" s="57"/>
    </row>
    <row r="7" spans="2:10">
      <c r="B7" s="407"/>
      <c r="C7" s="32" t="s">
        <v>45</v>
      </c>
      <c r="D7" s="477">
        <v>127921381</v>
      </c>
      <c r="E7" s="477"/>
      <c r="F7" s="408">
        <v>0.45500000000000002</v>
      </c>
      <c r="G7" s="57"/>
      <c r="H7" s="19">
        <v>113102563</v>
      </c>
      <c r="I7" s="408">
        <v>0.44</v>
      </c>
      <c r="J7" s="57"/>
    </row>
    <row r="8" spans="2:10">
      <c r="B8" s="407"/>
      <c r="C8" s="32" t="s">
        <v>47</v>
      </c>
      <c r="D8" s="477">
        <v>7620525</v>
      </c>
      <c r="E8" s="477"/>
      <c r="F8" s="408">
        <v>2.7E-2</v>
      </c>
      <c r="G8" s="57"/>
      <c r="H8" s="19">
        <v>6651429</v>
      </c>
      <c r="I8" s="408">
        <v>2.5999999999999999E-2</v>
      </c>
      <c r="J8" s="57"/>
    </row>
    <row r="9" spans="2:10" ht="12.95" thickBot="1">
      <c r="B9" s="407"/>
      <c r="C9" s="32" t="s">
        <v>49</v>
      </c>
      <c r="D9" s="483">
        <v>26992491</v>
      </c>
      <c r="E9" s="483"/>
      <c r="F9" s="409">
        <v>9.6000000000000002E-2</v>
      </c>
      <c r="G9" s="57"/>
      <c r="H9" s="21">
        <v>31148555</v>
      </c>
      <c r="I9" s="409">
        <v>0.121</v>
      </c>
      <c r="J9" s="57"/>
    </row>
    <row r="10" spans="2:10" ht="12.95" thickTop="1">
      <c r="B10" s="410"/>
      <c r="C10" s="484" t="s">
        <v>48</v>
      </c>
      <c r="D10" s="484"/>
      <c r="E10" s="37">
        <v>281222606</v>
      </c>
      <c r="F10" s="411">
        <v>1</v>
      </c>
      <c r="G10" s="412"/>
      <c r="H10" s="37">
        <v>256948070</v>
      </c>
      <c r="I10" s="411">
        <v>1</v>
      </c>
      <c r="J10" s="412"/>
    </row>
  </sheetData>
  <mergeCells count="11">
    <mergeCell ref="D6:E6"/>
    <mergeCell ref="D7:E7"/>
    <mergeCell ref="D8:E8"/>
    <mergeCell ref="D9:E9"/>
    <mergeCell ref="C10:D10"/>
    <mergeCell ref="D3:F3"/>
    <mergeCell ref="H3:I3"/>
    <mergeCell ref="D4:E4"/>
    <mergeCell ref="F4:F5"/>
    <mergeCell ref="I4:I5"/>
    <mergeCell ref="D5:E5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S54"/>
  <sheetViews>
    <sheetView showGridLines="0" tabSelected="1" topLeftCell="A26" workbookViewId="0">
      <selection activeCell="H29" sqref="H29"/>
    </sheetView>
  </sheetViews>
  <sheetFormatPr defaultColWidth="11.42578125" defaultRowHeight="15" customHeight="1"/>
  <cols>
    <col min="1" max="1" width="4" style="6" customWidth="1"/>
    <col min="2" max="2" width="26.42578125" style="6" customWidth="1"/>
    <col min="3" max="3" width="11.28515625" style="6" bestFit="1" customWidth="1"/>
    <col min="4" max="4" width="12.7109375" style="6" customWidth="1"/>
    <col min="5" max="5" width="8.140625" style="6" bestFit="1" customWidth="1"/>
    <col min="6" max="6" width="9.85546875" style="6" bestFit="1" customWidth="1"/>
    <col min="7" max="8" width="11.42578125" style="6"/>
    <col min="9" max="9" width="25.28515625" style="6" customWidth="1"/>
    <col min="10" max="10" width="14.140625" style="6" customWidth="1"/>
    <col min="11" max="11" width="11.42578125" style="6" customWidth="1"/>
    <col min="12" max="16384" width="11.42578125" style="6"/>
  </cols>
  <sheetData>
    <row r="1" spans="1:17" ht="15" customHeight="1">
      <c r="A1" s="12" t="s">
        <v>0</v>
      </c>
    </row>
    <row r="3" spans="1:17" ht="15" customHeight="1" thickBot="1">
      <c r="B3" s="3" t="s">
        <v>1</v>
      </c>
      <c r="C3" s="316" t="s">
        <v>2</v>
      </c>
      <c r="D3" s="316" t="s">
        <v>3</v>
      </c>
      <c r="E3" s="501" t="s">
        <v>4</v>
      </c>
      <c r="F3" s="297" t="s">
        <v>5</v>
      </c>
      <c r="I3" s="413" t="s">
        <v>6</v>
      </c>
      <c r="J3" s="297" t="s">
        <v>7</v>
      </c>
      <c r="K3" s="471" t="s">
        <v>8</v>
      </c>
      <c r="L3" s="471"/>
      <c r="M3" s="471"/>
      <c r="N3" s="471" t="s">
        <v>9</v>
      </c>
      <c r="O3" s="471"/>
      <c r="P3" s="482" t="s">
        <v>10</v>
      </c>
      <c r="Q3" s="482"/>
    </row>
    <row r="4" spans="1:17" ht="15" customHeight="1">
      <c r="B4" s="4" t="s">
        <v>11</v>
      </c>
      <c r="C4" s="298">
        <f>+Resultado!D5</f>
        <v>281222606</v>
      </c>
      <c r="D4" s="298">
        <f>+Resultado!E5</f>
        <v>256946925</v>
      </c>
      <c r="E4" s="8">
        <f t="shared" ref="E4:E15" si="0">ROUND(+F4/D4,3)</f>
        <v>9.4E-2</v>
      </c>
      <c r="F4" s="7">
        <f t="shared" ref="F4:F15" si="1">+C4-D4</f>
        <v>24275681</v>
      </c>
      <c r="I4" s="32" t="s">
        <v>12</v>
      </c>
      <c r="J4" s="475">
        <v>281222606</v>
      </c>
      <c r="K4" s="475"/>
      <c r="L4" s="19">
        <v>256948070</v>
      </c>
      <c r="M4" s="476">
        <v>9.4E-2</v>
      </c>
      <c r="N4" s="476"/>
      <c r="O4" s="475">
        <v>24274536</v>
      </c>
      <c r="P4" s="475"/>
      <c r="Q4" s="414"/>
    </row>
    <row r="5" spans="1:17" s="13" customFormat="1" ht="15" customHeight="1">
      <c r="B5" s="4" t="s">
        <v>13</v>
      </c>
      <c r="C5" s="298">
        <f>+Resultado!D6+Resultado!D7+Resultado!D10</f>
        <v>-132766490</v>
      </c>
      <c r="D5" s="298">
        <f>+Resultado!E6+Resultado!E7+Resultado!E10</f>
        <v>-118322754</v>
      </c>
      <c r="E5" s="8">
        <f t="shared" si="0"/>
        <v>0.122</v>
      </c>
      <c r="F5" s="7">
        <f t="shared" si="1"/>
        <v>-14443736</v>
      </c>
      <c r="I5" s="32" t="s">
        <v>14</v>
      </c>
      <c r="J5" s="477">
        <v>-132164216</v>
      </c>
      <c r="K5" s="477"/>
      <c r="L5" s="19">
        <v>-117585797</v>
      </c>
      <c r="M5" s="478">
        <v>0.124</v>
      </c>
      <c r="N5" s="478"/>
      <c r="O5" s="477">
        <v>-14578419</v>
      </c>
      <c r="P5" s="477"/>
      <c r="Q5" s="414"/>
    </row>
    <row r="6" spans="1:17" s="13" customFormat="1" ht="15" customHeight="1">
      <c r="B6" s="5" t="s">
        <v>15</v>
      </c>
      <c r="C6" s="299">
        <f>+C4+C5</f>
        <v>148456116</v>
      </c>
      <c r="D6" s="299">
        <f>+D4+D5</f>
        <v>138624171</v>
      </c>
      <c r="E6" s="10">
        <f t="shared" si="0"/>
        <v>7.0999999999999994E-2</v>
      </c>
      <c r="F6" s="9">
        <f t="shared" si="1"/>
        <v>9831945</v>
      </c>
      <c r="G6" s="13">
        <v>28431</v>
      </c>
      <c r="H6" s="13">
        <v>28431</v>
      </c>
      <c r="I6" s="56" t="s">
        <v>15</v>
      </c>
      <c r="J6" s="479">
        <v>149058390</v>
      </c>
      <c r="K6" s="479"/>
      <c r="L6" s="37">
        <v>139362273</v>
      </c>
      <c r="M6" s="480">
        <v>7.0000000000000007E-2</v>
      </c>
      <c r="N6" s="480"/>
      <c r="O6" s="479">
        <v>9696117</v>
      </c>
      <c r="P6" s="479"/>
      <c r="Q6" s="414"/>
    </row>
    <row r="7" spans="1:17" s="13" customFormat="1" ht="15" customHeight="1">
      <c r="B7" s="4" t="s">
        <v>16</v>
      </c>
      <c r="C7" s="298">
        <f>+Resultado!D8</f>
        <v>-36505882</v>
      </c>
      <c r="D7" s="298">
        <f>+Resultado!E8</f>
        <v>-33845344</v>
      </c>
      <c r="E7" s="8">
        <f t="shared" si="0"/>
        <v>7.9000000000000001E-2</v>
      </c>
      <c r="F7" s="7">
        <f t="shared" si="1"/>
        <v>-2660538</v>
      </c>
      <c r="G7" s="13">
        <v>-10983</v>
      </c>
      <c r="H7" s="13">
        <v>-10983</v>
      </c>
      <c r="I7" s="32" t="s">
        <v>17</v>
      </c>
      <c r="J7" s="477">
        <v>-36501310</v>
      </c>
      <c r="K7" s="477"/>
      <c r="L7" s="19">
        <v>-33840388</v>
      </c>
      <c r="M7" s="478">
        <v>7.9000000000000001E-2</v>
      </c>
      <c r="N7" s="478"/>
      <c r="O7" s="477">
        <v>-2660922</v>
      </c>
      <c r="P7" s="477"/>
      <c r="Q7" s="414"/>
    </row>
    <row r="8" spans="1:17" s="13" customFormat="1" ht="15" customHeight="1">
      <c r="B8" s="5" t="s">
        <v>18</v>
      </c>
      <c r="C8" s="299">
        <f>+C6+C7</f>
        <v>111950234</v>
      </c>
      <c r="D8" s="299">
        <f>+D6+D7</f>
        <v>104778827</v>
      </c>
      <c r="E8" s="10">
        <f t="shared" si="0"/>
        <v>6.8000000000000005E-2</v>
      </c>
      <c r="F8" s="9">
        <f t="shared" si="1"/>
        <v>7171407</v>
      </c>
      <c r="G8" s="13">
        <v>-2528</v>
      </c>
      <c r="H8" s="13">
        <v>-2528</v>
      </c>
      <c r="I8" s="56" t="s">
        <v>19</v>
      </c>
      <c r="J8" s="479">
        <v>112557080</v>
      </c>
      <c r="K8" s="479"/>
      <c r="L8" s="37">
        <v>105521885</v>
      </c>
      <c r="M8" s="480">
        <v>6.7000000000000004E-2</v>
      </c>
      <c r="N8" s="480"/>
      <c r="O8" s="479">
        <v>7035195</v>
      </c>
      <c r="P8" s="479"/>
      <c r="Q8" s="414"/>
    </row>
    <row r="9" spans="1:17" s="13" customFormat="1" ht="15" customHeight="1">
      <c r="B9" s="4" t="s">
        <v>20</v>
      </c>
      <c r="C9" s="298">
        <f>+Resultado!D11</f>
        <v>-1188593</v>
      </c>
      <c r="D9" s="298">
        <f>+Resultado!E11</f>
        <v>-2036737</v>
      </c>
      <c r="E9" s="8">
        <f t="shared" si="0"/>
        <v>-0.41599999999999998</v>
      </c>
      <c r="F9" s="7">
        <f t="shared" si="1"/>
        <v>848144</v>
      </c>
      <c r="G9" s="13">
        <v>-2590</v>
      </c>
      <c r="H9" s="13">
        <v>-2590</v>
      </c>
      <c r="I9" s="32" t="s">
        <v>21</v>
      </c>
      <c r="J9" s="477">
        <v>-1188593</v>
      </c>
      <c r="K9" s="477"/>
      <c r="L9" s="19">
        <v>-2036737</v>
      </c>
      <c r="M9" s="478">
        <v>-0.41599999999999998</v>
      </c>
      <c r="N9" s="478"/>
      <c r="O9" s="477">
        <v>848144</v>
      </c>
      <c r="P9" s="477"/>
      <c r="Q9" s="414"/>
    </row>
    <row r="10" spans="1:17" s="13" customFormat="1" ht="15" hidden="1" customHeight="1">
      <c r="B10" s="4" t="s">
        <v>22</v>
      </c>
      <c r="C10" s="298">
        <f>+Resultado!D9</f>
        <v>0</v>
      </c>
      <c r="D10" s="298">
        <f>+Resultado!E9</f>
        <v>0</v>
      </c>
      <c r="E10" s="8" t="e">
        <f t="shared" si="0"/>
        <v>#DIV/0!</v>
      </c>
      <c r="F10" s="7">
        <f t="shared" si="1"/>
        <v>0</v>
      </c>
      <c r="I10" s="32" t="s">
        <v>23</v>
      </c>
      <c r="J10" s="477">
        <v>-70120880</v>
      </c>
      <c r="K10" s="477"/>
      <c r="L10" s="19">
        <v>-30309505</v>
      </c>
      <c r="M10" s="478">
        <v>1.3129999999999999</v>
      </c>
      <c r="N10" s="478"/>
      <c r="O10" s="477">
        <v>-39811375</v>
      </c>
      <c r="P10" s="477"/>
      <c r="Q10" s="414"/>
    </row>
    <row r="11" spans="1:17" s="13" customFormat="1" ht="15" customHeight="1">
      <c r="B11" s="4" t="s">
        <v>24</v>
      </c>
      <c r="C11" s="298">
        <f>+Resultado!D13+Resultado!D14+Resultado!D15+Resultado!D16</f>
        <v>-70067602</v>
      </c>
      <c r="D11" s="298">
        <f>+Resultado!E13+Resultado!E14+Resultado!E15+Resultado!E16</f>
        <v>-30311469</v>
      </c>
      <c r="E11" s="8">
        <f t="shared" si="0"/>
        <v>1.3120000000000001</v>
      </c>
      <c r="F11" s="7">
        <f t="shared" si="1"/>
        <v>-39756133</v>
      </c>
      <c r="G11" s="13">
        <v>137</v>
      </c>
      <c r="H11" s="13">
        <v>137</v>
      </c>
      <c r="I11" s="32" t="s">
        <v>25</v>
      </c>
      <c r="J11" s="477">
        <v>2453283</v>
      </c>
      <c r="K11" s="477"/>
      <c r="L11" s="19">
        <v>-14883524</v>
      </c>
      <c r="M11" s="478">
        <v>-1.165</v>
      </c>
      <c r="N11" s="478"/>
      <c r="O11" s="477">
        <v>17336807</v>
      </c>
      <c r="P11" s="477"/>
      <c r="Q11" s="414"/>
    </row>
    <row r="12" spans="1:17" s="13" customFormat="1" ht="14.25" customHeight="1">
      <c r="B12" s="4" t="s">
        <v>26</v>
      </c>
      <c r="C12" s="298">
        <f>+Resultado!D19</f>
        <v>2496350</v>
      </c>
      <c r="D12" s="298">
        <f>+Resultado!E19</f>
        <v>-14699913</v>
      </c>
      <c r="E12" s="8">
        <f t="shared" si="0"/>
        <v>-1.17</v>
      </c>
      <c r="F12" s="7">
        <f t="shared" si="1"/>
        <v>17196263</v>
      </c>
      <c r="G12" s="13">
        <v>1775</v>
      </c>
      <c r="H12" s="13">
        <v>1775</v>
      </c>
      <c r="I12" s="32" t="s">
        <v>27</v>
      </c>
      <c r="J12" s="477">
        <v>-1179</v>
      </c>
      <c r="K12" s="477"/>
      <c r="L12" s="57">
        <v>-977</v>
      </c>
      <c r="M12" s="478">
        <v>0.20699999999999999</v>
      </c>
      <c r="N12" s="478"/>
      <c r="O12" s="481">
        <v>-202</v>
      </c>
      <c r="P12" s="481"/>
      <c r="Q12" s="414"/>
    </row>
    <row r="13" spans="1:17" s="13" customFormat="1" ht="15" hidden="1" customHeight="1">
      <c r="B13" s="4" t="s">
        <v>28</v>
      </c>
      <c r="C13" s="298">
        <f>+Resultado!D21</f>
        <v>0</v>
      </c>
      <c r="D13" s="298">
        <f>+Resultado!E21</f>
        <v>0</v>
      </c>
      <c r="E13" s="8" t="e">
        <f t="shared" si="0"/>
        <v>#DIV/0!</v>
      </c>
      <c r="F13" s="7">
        <f t="shared" ref="F13" si="2">+C13-D13</f>
        <v>0</v>
      </c>
      <c r="I13" s="56" t="s">
        <v>29</v>
      </c>
      <c r="J13" s="479">
        <v>43699711</v>
      </c>
      <c r="K13" s="479"/>
      <c r="L13" s="37">
        <v>58291142</v>
      </c>
      <c r="M13" s="480">
        <v>-0.25</v>
      </c>
      <c r="N13" s="480"/>
      <c r="O13" s="479">
        <v>-14591431</v>
      </c>
      <c r="P13" s="479"/>
      <c r="Q13" s="414"/>
    </row>
    <row r="14" spans="1:17" s="13" customFormat="1" ht="15" customHeight="1">
      <c r="B14" s="32" t="s">
        <v>30</v>
      </c>
      <c r="C14" s="298">
        <f>-Resultado!D26</f>
        <v>-21806313</v>
      </c>
      <c r="D14" s="298">
        <f>-Resultado!E26</f>
        <v>-29086893</v>
      </c>
      <c r="E14" s="8">
        <f t="shared" ref="E14" si="3">ROUND(+F14/D14,3)</f>
        <v>-0.25</v>
      </c>
      <c r="F14" s="7">
        <f t="shared" ref="F14" si="4">+C14-D14</f>
        <v>7280580</v>
      </c>
      <c r="G14" s="13">
        <v>-4546</v>
      </c>
      <c r="H14" s="13">
        <f>-4546+136</f>
        <v>-4410</v>
      </c>
      <c r="J14" s="14"/>
    </row>
    <row r="15" spans="1:17" s="13" customFormat="1" ht="15" customHeight="1">
      <c r="B15" s="5" t="s">
        <v>31</v>
      </c>
      <c r="C15" s="299">
        <f>+Resultado!D25</f>
        <v>21384076</v>
      </c>
      <c r="D15" s="299">
        <f>+Resultado!E25</f>
        <v>28643815</v>
      </c>
      <c r="E15" s="10">
        <f t="shared" si="0"/>
        <v>-0.253</v>
      </c>
      <c r="F15" s="9">
        <f t="shared" si="1"/>
        <v>-7259739</v>
      </c>
      <c r="G15" s="13">
        <f>SUM(G6:G14)</f>
        <v>9696</v>
      </c>
      <c r="H15" s="13">
        <f>SUM(H6:H14)</f>
        <v>9832</v>
      </c>
    </row>
    <row r="16" spans="1:17" s="13" customFormat="1" ht="15" customHeight="1">
      <c r="B16" s="420"/>
      <c r="G16" s="13">
        <v>9831</v>
      </c>
    </row>
    <row r="17" spans="1:19" s="13" customFormat="1" ht="15" customHeight="1">
      <c r="B17" s="420"/>
    </row>
    <row r="18" spans="1:19" ht="15" customHeight="1">
      <c r="A18" s="12" t="s">
        <v>32</v>
      </c>
      <c r="G18" s="6">
        <f>+G16-G15</f>
        <v>135</v>
      </c>
    </row>
    <row r="19" spans="1:19" s="13" customFormat="1" ht="15" customHeight="1">
      <c r="B19" s="15"/>
      <c r="C19" s="16"/>
      <c r="D19" s="16"/>
      <c r="E19" s="17"/>
      <c r="F19" s="18"/>
      <c r="G19" s="16"/>
    </row>
    <row r="20" spans="1:19" s="13" customFormat="1" ht="15" customHeight="1" thickBot="1">
      <c r="B20" s="6"/>
      <c r="C20" s="471" t="str">
        <f>+C3</f>
        <v xml:space="preserve">         Jun.22</v>
      </c>
      <c r="D20" s="471"/>
      <c r="E20" s="6"/>
      <c r="F20" s="502" t="str">
        <f>+D3</f>
        <v xml:space="preserve">         Jun.21</v>
      </c>
      <c r="G20" s="502"/>
      <c r="H20" s="6"/>
      <c r="I20" s="472"/>
      <c r="J20" s="472"/>
    </row>
    <row r="21" spans="1:19" s="13" customFormat="1" ht="15" customHeight="1" thickBot="1">
      <c r="B21" s="6"/>
      <c r="C21" s="300" t="s">
        <v>33</v>
      </c>
      <c r="D21" s="473" t="s">
        <v>34</v>
      </c>
      <c r="E21" s="6"/>
      <c r="F21" s="300" t="s">
        <v>33</v>
      </c>
      <c r="G21" s="473" t="s">
        <v>34</v>
      </c>
      <c r="H21" s="6"/>
      <c r="I21" s="472"/>
      <c r="J21" s="472"/>
      <c r="K21" s="405"/>
      <c r="L21" s="406"/>
      <c r="M21" s="471" t="s">
        <v>35</v>
      </c>
      <c r="N21" s="471"/>
      <c r="O21" s="471"/>
      <c r="P21" s="32"/>
      <c r="Q21" s="471" t="s">
        <v>36</v>
      </c>
      <c r="R21" s="471"/>
      <c r="S21" s="32"/>
    </row>
    <row r="22" spans="1:19" s="13" customFormat="1" ht="15" customHeight="1" thickBot="1">
      <c r="B22" s="6"/>
      <c r="C22" s="316" t="s">
        <v>37</v>
      </c>
      <c r="D22" s="474"/>
      <c r="E22" s="6"/>
      <c r="F22" s="316" t="s">
        <v>37</v>
      </c>
      <c r="G22" s="474"/>
      <c r="H22" s="6"/>
      <c r="I22" s="472"/>
      <c r="J22" s="472"/>
      <c r="K22" s="405"/>
      <c r="L22" s="406"/>
      <c r="M22" s="473" t="s">
        <v>38</v>
      </c>
      <c r="N22" s="473"/>
      <c r="O22" s="473" t="s">
        <v>39</v>
      </c>
      <c r="P22" s="32"/>
      <c r="Q22" s="300" t="s">
        <v>38</v>
      </c>
      <c r="R22" s="473" t="s">
        <v>39</v>
      </c>
      <c r="S22" s="32"/>
    </row>
    <row r="23" spans="1:19" s="13" customFormat="1" ht="15" customHeight="1" thickBot="1">
      <c r="B23" s="4" t="s">
        <v>40</v>
      </c>
      <c r="C23" s="19">
        <v>118688209</v>
      </c>
      <c r="D23" s="408">
        <v>0.42199999999999999</v>
      </c>
      <c r="E23" s="6"/>
      <c r="F23" s="19">
        <f>+Q24</f>
        <v>106045523</v>
      </c>
      <c r="G23" s="19">
        <f>+R24</f>
        <v>0.41299999999999998</v>
      </c>
      <c r="H23" s="6">
        <v>106045523</v>
      </c>
      <c r="I23" s="29">
        <f>+C23-F23</f>
        <v>12642686</v>
      </c>
      <c r="J23" s="30">
        <f>+ROUND(I23/F23,3)</f>
        <v>0.11899999999999999</v>
      </c>
      <c r="K23" s="407"/>
      <c r="L23" s="32"/>
      <c r="M23" s="471" t="s">
        <v>41</v>
      </c>
      <c r="N23" s="471"/>
      <c r="O23" s="474"/>
      <c r="P23" s="32"/>
      <c r="Q23" s="316" t="s">
        <v>41</v>
      </c>
      <c r="R23" s="474"/>
      <c r="S23" s="32"/>
    </row>
    <row r="24" spans="1:19" s="13" customFormat="1" ht="15" customHeight="1">
      <c r="B24" s="4" t="s">
        <v>42</v>
      </c>
      <c r="C24" s="19">
        <v>127921381</v>
      </c>
      <c r="D24" s="408">
        <v>0.45500000000000002</v>
      </c>
      <c r="E24" s="6"/>
      <c r="F24" s="19">
        <f t="shared" ref="F24:F25" si="5">+Q25</f>
        <v>113102563</v>
      </c>
      <c r="G24" s="308">
        <f t="shared" ref="G24:G26" si="6">+ROUND(F24/$F$27,3)</f>
        <v>0.44</v>
      </c>
      <c r="H24" s="6">
        <v>113102563</v>
      </c>
      <c r="I24" s="29">
        <f t="shared" ref="I24:I26" si="7">+C24-F24</f>
        <v>14818818</v>
      </c>
      <c r="J24" s="30">
        <f t="shared" ref="J24:J27" si="8">+ROUND(I24/F24,3)</f>
        <v>0.13100000000000001</v>
      </c>
      <c r="K24" s="407"/>
      <c r="L24" s="32" t="s">
        <v>43</v>
      </c>
      <c r="M24" s="475">
        <v>118688209</v>
      </c>
      <c r="N24" s="475"/>
      <c r="O24" s="408">
        <v>0.42199999999999999</v>
      </c>
      <c r="P24" s="57"/>
      <c r="Q24" s="19">
        <v>106045523</v>
      </c>
      <c r="R24" s="408">
        <v>0.41299999999999998</v>
      </c>
      <c r="S24" s="57"/>
    </row>
    <row r="25" spans="1:19" s="13" customFormat="1" ht="15" customHeight="1">
      <c r="B25" s="4" t="s">
        <v>44</v>
      </c>
      <c r="C25" s="19">
        <v>7620525</v>
      </c>
      <c r="D25" s="408">
        <v>2.7E-2</v>
      </c>
      <c r="E25" s="6"/>
      <c r="F25" s="19">
        <f t="shared" si="5"/>
        <v>6651429</v>
      </c>
      <c r="G25" s="308">
        <f t="shared" si="6"/>
        <v>2.5999999999999999E-2</v>
      </c>
      <c r="H25" s="6">
        <v>6651429</v>
      </c>
      <c r="I25" s="29">
        <f t="shared" si="7"/>
        <v>969096</v>
      </c>
      <c r="J25" s="30">
        <f t="shared" si="8"/>
        <v>0.14599999999999999</v>
      </c>
      <c r="K25" s="407"/>
      <c r="L25" s="32" t="s">
        <v>45</v>
      </c>
      <c r="M25" s="477">
        <v>127921381</v>
      </c>
      <c r="N25" s="477"/>
      <c r="O25" s="408">
        <v>0.45500000000000002</v>
      </c>
      <c r="P25" s="57"/>
      <c r="Q25" s="19">
        <v>113102563</v>
      </c>
      <c r="R25" s="408">
        <v>0.44</v>
      </c>
      <c r="S25" s="57"/>
    </row>
    <row r="26" spans="1:19" s="13" customFormat="1" ht="15" customHeight="1" thickBot="1">
      <c r="B26" s="4" t="s">
        <v>46</v>
      </c>
      <c r="C26" s="21">
        <v>26992491</v>
      </c>
      <c r="D26" s="409">
        <v>9.6000000000000002E-2</v>
      </c>
      <c r="E26" s="6"/>
      <c r="F26" s="21">
        <f>+Q27+-1145</f>
        <v>31147410</v>
      </c>
      <c r="G26" s="309">
        <f t="shared" si="6"/>
        <v>0.121</v>
      </c>
      <c r="H26" s="6">
        <v>31147925</v>
      </c>
      <c r="I26" s="29">
        <f t="shared" si="7"/>
        <v>-4154919</v>
      </c>
      <c r="J26" s="30">
        <f t="shared" si="8"/>
        <v>-0.13300000000000001</v>
      </c>
      <c r="K26" s="407"/>
      <c r="L26" s="32" t="s">
        <v>47</v>
      </c>
      <c r="M26" s="477">
        <v>7620525</v>
      </c>
      <c r="N26" s="477"/>
      <c r="O26" s="408">
        <v>2.7E-2</v>
      </c>
      <c r="P26" s="57"/>
      <c r="Q26" s="19">
        <v>6651429</v>
      </c>
      <c r="R26" s="408">
        <v>2.5999999999999999E-2</v>
      </c>
      <c r="S26" s="57"/>
    </row>
    <row r="27" spans="1:19" s="13" customFormat="1" ht="15" customHeight="1" thickTop="1" thickBot="1">
      <c r="B27" s="5" t="s">
        <v>48</v>
      </c>
      <c r="C27" s="37">
        <f>SUM(C23:C26)</f>
        <v>281222606</v>
      </c>
      <c r="D27" s="310">
        <f>SUM(D23:D26)</f>
        <v>1</v>
      </c>
      <c r="E27" s="6"/>
      <c r="F27" s="37">
        <f>SUM(F23:F26)</f>
        <v>256946925</v>
      </c>
      <c r="G27" s="310">
        <f>SUM(G23:G26)</f>
        <v>1</v>
      </c>
      <c r="H27" s="37">
        <f>SUM(H23:H26)</f>
        <v>256947440</v>
      </c>
      <c r="I27" s="28">
        <f>SUM(I23:I26)</f>
        <v>24275681</v>
      </c>
      <c r="J27" s="31">
        <f t="shared" si="8"/>
        <v>9.4E-2</v>
      </c>
      <c r="K27" s="407"/>
      <c r="L27" s="32" t="s">
        <v>49</v>
      </c>
      <c r="M27" s="483">
        <v>26992491</v>
      </c>
      <c r="N27" s="483"/>
      <c r="O27" s="409">
        <v>9.6000000000000002E-2</v>
      </c>
      <c r="P27" s="57"/>
      <c r="Q27" s="21">
        <v>31148555</v>
      </c>
      <c r="R27" s="409">
        <v>0.121</v>
      </c>
      <c r="S27" s="57"/>
    </row>
    <row r="28" spans="1:19" s="13" customFormat="1" ht="15" customHeight="1" thickTop="1">
      <c r="C28" s="317">
        <f>+C27-C4</f>
        <v>0</v>
      </c>
      <c r="D28" s="317"/>
      <c r="E28" s="318"/>
      <c r="F28" s="317">
        <f>+F27-D4</f>
        <v>0</v>
      </c>
      <c r="H28" s="426">
        <f>+H27-D4</f>
        <v>515</v>
      </c>
      <c r="I28" s="20"/>
      <c r="K28" s="410"/>
      <c r="L28" s="484" t="s">
        <v>48</v>
      </c>
      <c r="M28" s="484"/>
      <c r="N28" s="37">
        <v>281222606</v>
      </c>
      <c r="O28" s="411">
        <v>1</v>
      </c>
      <c r="P28" s="412"/>
      <c r="Q28" s="37">
        <v>256948070</v>
      </c>
      <c r="R28" s="411">
        <v>1</v>
      </c>
      <c r="S28" s="412"/>
    </row>
    <row r="29" spans="1:19" s="13" customFormat="1" ht="15" customHeight="1" thickBot="1">
      <c r="B29" s="33" t="s">
        <v>50</v>
      </c>
      <c r="C29" s="421" t="str">
        <f>+C3</f>
        <v xml:space="preserve">         Jun.22</v>
      </c>
      <c r="D29" s="421" t="str">
        <f>+D3</f>
        <v xml:space="preserve">         Jun.21</v>
      </c>
      <c r="E29" s="421" t="s">
        <v>51</v>
      </c>
      <c r="F29" s="6"/>
      <c r="G29" s="421" t="s">
        <v>52</v>
      </c>
    </row>
    <row r="30" spans="1:19" s="13" customFormat="1" ht="15" customHeight="1" thickBot="1">
      <c r="B30" s="4" t="s">
        <v>40</v>
      </c>
      <c r="C30" s="19">
        <f>+M31</f>
        <v>268207</v>
      </c>
      <c r="D30" s="19">
        <f>+N31</f>
        <v>273588</v>
      </c>
      <c r="E30" s="8">
        <f t="shared" ref="E30:E33" si="9">ROUND(G30/D30,3)</f>
        <v>-0.02</v>
      </c>
      <c r="F30" s="6"/>
      <c r="G30" s="7">
        <f>+C30-D30</f>
        <v>-5381</v>
      </c>
      <c r="I30" s="14"/>
      <c r="L30" s="55" t="s">
        <v>53</v>
      </c>
      <c r="M30" s="316" t="s">
        <v>54</v>
      </c>
      <c r="N30" s="316" t="s">
        <v>55</v>
      </c>
      <c r="O30" s="316" t="s">
        <v>51</v>
      </c>
      <c r="P30" s="415"/>
      <c r="Q30" s="316" t="s">
        <v>56</v>
      </c>
    </row>
    <row r="31" spans="1:19" s="13" customFormat="1" ht="15" customHeight="1">
      <c r="B31" s="4" t="s">
        <v>57</v>
      </c>
      <c r="C31" s="19">
        <f t="shared" ref="C31:D33" si="10">+M32</f>
        <v>255687</v>
      </c>
      <c r="D31" s="19">
        <f t="shared" si="10"/>
        <v>261084</v>
      </c>
      <c r="E31" s="8">
        <f t="shared" si="9"/>
        <v>-2.1000000000000001E-2</v>
      </c>
      <c r="F31" s="6"/>
      <c r="G31" s="7">
        <f t="shared" ref="G31:G33" si="11">+C31-D31</f>
        <v>-5397</v>
      </c>
      <c r="I31" s="14"/>
      <c r="L31" s="32" t="s">
        <v>58</v>
      </c>
      <c r="M31" s="19">
        <v>268207</v>
      </c>
      <c r="N31" s="19">
        <v>273588</v>
      </c>
      <c r="O31" s="408">
        <v>-0.02</v>
      </c>
      <c r="P31" s="57"/>
      <c r="Q31" s="416">
        <v>-5381</v>
      </c>
    </row>
    <row r="32" spans="1:19" s="13" customFormat="1" ht="15" customHeight="1">
      <c r="B32" s="4" t="s">
        <v>59</v>
      </c>
      <c r="C32" s="19">
        <f t="shared" si="10"/>
        <v>218225</v>
      </c>
      <c r="D32" s="19">
        <f t="shared" si="10"/>
        <v>222568</v>
      </c>
      <c r="E32" s="8">
        <f t="shared" si="9"/>
        <v>-0.02</v>
      </c>
      <c r="F32" s="6"/>
      <c r="G32" s="7">
        <f t="shared" si="11"/>
        <v>-4343</v>
      </c>
      <c r="I32" s="14"/>
      <c r="L32" s="32" t="s">
        <v>60</v>
      </c>
      <c r="M32" s="19">
        <v>255687</v>
      </c>
      <c r="N32" s="19">
        <v>261084</v>
      </c>
      <c r="O32" s="408">
        <v>-2.1000000000000001E-2</v>
      </c>
      <c r="P32" s="57"/>
      <c r="Q32" s="416">
        <v>-5397</v>
      </c>
    </row>
    <row r="33" spans="2:17" ht="15" customHeight="1">
      <c r="B33" s="4" t="s">
        <v>61</v>
      </c>
      <c r="C33" s="19">
        <f t="shared" si="10"/>
        <v>64353</v>
      </c>
      <c r="D33" s="19">
        <f t="shared" si="10"/>
        <v>66453</v>
      </c>
      <c r="E33" s="8">
        <f t="shared" si="9"/>
        <v>-3.2000000000000001E-2</v>
      </c>
      <c r="F33" s="22"/>
      <c r="G33" s="7">
        <f t="shared" si="11"/>
        <v>-2100</v>
      </c>
      <c r="L33" s="32" t="s">
        <v>62</v>
      </c>
      <c r="M33" s="19">
        <v>218225</v>
      </c>
      <c r="N33" s="19">
        <v>222568</v>
      </c>
      <c r="O33" s="408">
        <v>-0.02</v>
      </c>
      <c r="P33" s="57"/>
      <c r="Q33" s="416">
        <v>-4343</v>
      </c>
    </row>
    <row r="34" spans="2:17" ht="15" customHeight="1">
      <c r="C34" s="34"/>
      <c r="D34" s="34"/>
      <c r="L34" s="32" t="s">
        <v>63</v>
      </c>
      <c r="M34" s="19">
        <v>64353</v>
      </c>
      <c r="N34" s="19">
        <v>66453</v>
      </c>
      <c r="O34" s="408">
        <v>-3.2000000000000001E-2</v>
      </c>
      <c r="P34" s="57"/>
      <c r="Q34" s="416">
        <v>-2100</v>
      </c>
    </row>
    <row r="35" spans="2:17" ht="15" customHeight="1" thickBot="1">
      <c r="B35" s="3" t="s">
        <v>64</v>
      </c>
      <c r="C35" s="421" t="str">
        <f>+C29</f>
        <v xml:space="preserve">         Jun.22</v>
      </c>
      <c r="D35" s="421" t="str">
        <f>+D29</f>
        <v xml:space="preserve">         Jun.21</v>
      </c>
      <c r="E35" s="421" t="s">
        <v>51</v>
      </c>
      <c r="G35" s="421" t="s">
        <v>52</v>
      </c>
      <c r="L35" s="415"/>
      <c r="M35" s="415"/>
      <c r="N35" s="415"/>
      <c r="O35" s="415"/>
      <c r="P35" s="415"/>
      <c r="Q35" s="415"/>
    </row>
    <row r="36" spans="2:17" ht="15" customHeight="1" thickBot="1">
      <c r="B36" s="4" t="s">
        <v>40</v>
      </c>
      <c r="C36" s="19">
        <f t="shared" ref="C36:D37" si="12">+M37</f>
        <v>2228212</v>
      </c>
      <c r="D36" s="19">
        <f t="shared" si="12"/>
        <v>2188362</v>
      </c>
      <c r="E36" s="8">
        <f>ROUND(G36/D36,3)</f>
        <v>1.7999999999999999E-2</v>
      </c>
      <c r="G36" s="7">
        <f>+C36-D36</f>
        <v>39850</v>
      </c>
      <c r="L36" s="55" t="s">
        <v>65</v>
      </c>
      <c r="M36" s="316" t="s">
        <v>54</v>
      </c>
      <c r="N36" s="316" t="s">
        <v>55</v>
      </c>
      <c r="O36" s="316" t="s">
        <v>51</v>
      </c>
      <c r="P36" s="415"/>
      <c r="Q36" s="316" t="s">
        <v>56</v>
      </c>
    </row>
    <row r="37" spans="2:17" ht="15" customHeight="1">
      <c r="B37" s="4" t="s">
        <v>57</v>
      </c>
      <c r="C37" s="19">
        <f t="shared" si="12"/>
        <v>2183592</v>
      </c>
      <c r="D37" s="19">
        <f t="shared" si="12"/>
        <v>2144538</v>
      </c>
      <c r="E37" s="8">
        <f>ROUND(G37/D37,3)</f>
        <v>1.7999999999999999E-2</v>
      </c>
      <c r="G37" s="7">
        <f>+C37-D37</f>
        <v>39054</v>
      </c>
      <c r="L37" s="32" t="s">
        <v>58</v>
      </c>
      <c r="M37" s="19">
        <v>2228212</v>
      </c>
      <c r="N37" s="19">
        <v>2188362</v>
      </c>
      <c r="O37" s="408">
        <v>1.7999999999999999E-2</v>
      </c>
      <c r="P37" s="57"/>
      <c r="Q37" s="416">
        <v>39850</v>
      </c>
    </row>
    <row r="38" spans="2:17" ht="15" customHeight="1">
      <c r="L38" s="32" t="s">
        <v>66</v>
      </c>
      <c r="M38" s="19">
        <v>2183592</v>
      </c>
      <c r="N38" s="19">
        <v>2144538</v>
      </c>
      <c r="O38" s="408">
        <v>1.7999999999999999E-2</v>
      </c>
      <c r="P38" s="57"/>
      <c r="Q38" s="416">
        <v>39054</v>
      </c>
    </row>
    <row r="39" spans="2:17" ht="15" customHeight="1">
      <c r="B39" s="23" t="s">
        <v>67</v>
      </c>
    </row>
    <row r="40" spans="2:17" ht="15" customHeight="1">
      <c r="B40" s="23"/>
    </row>
    <row r="41" spans="2:17" ht="13.5" thickBot="1">
      <c r="B41" s="3" t="s">
        <v>68</v>
      </c>
      <c r="C41" s="421" t="str">
        <f>+C35</f>
        <v xml:space="preserve">         Jun.22</v>
      </c>
      <c r="D41" s="421" t="str">
        <f>+D35</f>
        <v xml:space="preserve">         Jun.21</v>
      </c>
      <c r="E41" s="421" t="str">
        <f>+E35</f>
        <v>% Var.</v>
      </c>
      <c r="L41" s="417" t="s">
        <v>69</v>
      </c>
      <c r="M41" s="418" t="s">
        <v>70</v>
      </c>
      <c r="N41" s="418" t="s">
        <v>71</v>
      </c>
      <c r="O41" s="419" t="s">
        <v>51</v>
      </c>
    </row>
    <row r="42" spans="2:17" ht="12.95">
      <c r="B42" s="4" t="s">
        <v>72</v>
      </c>
      <c r="C42" s="19">
        <f>+M42</f>
        <v>9667375</v>
      </c>
      <c r="D42" s="19">
        <f>+N42</f>
        <v>8200827</v>
      </c>
      <c r="E42" s="8">
        <f>ROUND(+J42/D42,3)</f>
        <v>0.17899999999999999</v>
      </c>
      <c r="J42" s="27">
        <f>+C42-D42</f>
        <v>1466548</v>
      </c>
      <c r="K42" s="27"/>
      <c r="L42" s="32" t="s">
        <v>72</v>
      </c>
      <c r="M42" s="19">
        <v>9667375</v>
      </c>
      <c r="N42" s="19">
        <v>8200827</v>
      </c>
      <c r="O42" s="408">
        <v>0.17899999999999999</v>
      </c>
    </row>
    <row r="43" spans="2:17" ht="12.95">
      <c r="B43" s="4" t="s">
        <v>73</v>
      </c>
      <c r="C43" s="19">
        <f t="shared" ref="C43:D45" si="13">+M43</f>
        <v>3591266</v>
      </c>
      <c r="D43" s="19">
        <f t="shared" si="13"/>
        <v>3186511</v>
      </c>
      <c r="E43" s="8">
        <f>ROUND(+J43/D43,3)</f>
        <v>0.127</v>
      </c>
      <c r="J43" s="27">
        <f>+C43-D43</f>
        <v>404755</v>
      </c>
      <c r="K43" s="27"/>
      <c r="L43" s="32" t="s">
        <v>74</v>
      </c>
      <c r="M43" s="19">
        <v>3591266</v>
      </c>
      <c r="N43" s="19">
        <v>3186511</v>
      </c>
      <c r="O43" s="408">
        <v>0.127</v>
      </c>
    </row>
    <row r="44" spans="2:17" ht="12.95">
      <c r="B44" s="4" t="s">
        <v>75</v>
      </c>
      <c r="C44" s="19">
        <f t="shared" si="13"/>
        <v>2401667</v>
      </c>
      <c r="D44" s="19">
        <f t="shared" si="13"/>
        <v>3390288</v>
      </c>
      <c r="E44" s="8">
        <f>ROUND(+J44/D44,3)</f>
        <v>-0.29199999999999998</v>
      </c>
      <c r="J44" s="27">
        <f>+C44-D44</f>
        <v>-988621</v>
      </c>
      <c r="K44" s="27"/>
      <c r="L44" s="32" t="s">
        <v>76</v>
      </c>
      <c r="M44" s="19">
        <v>2401667</v>
      </c>
      <c r="N44" s="19">
        <v>3390288</v>
      </c>
      <c r="O44" s="408">
        <v>-0.29199999999999998</v>
      </c>
    </row>
    <row r="45" spans="2:17" ht="12.95">
      <c r="B45" s="4" t="s">
        <v>77</v>
      </c>
      <c r="C45" s="19">
        <f t="shared" si="13"/>
        <v>662744</v>
      </c>
      <c r="D45" s="19">
        <f t="shared" si="13"/>
        <v>469622</v>
      </c>
      <c r="E45" s="8">
        <f>ROUND(+J45/D45,3)</f>
        <v>0.41099999999999998</v>
      </c>
      <c r="J45" s="27">
        <f>+C45-D45</f>
        <v>193122</v>
      </c>
      <c r="K45" s="27"/>
      <c r="L45" s="32" t="s">
        <v>77</v>
      </c>
      <c r="M45" s="19">
        <v>662744</v>
      </c>
      <c r="N45" s="19">
        <v>469622</v>
      </c>
      <c r="O45" s="408">
        <v>0.41099999999999998</v>
      </c>
    </row>
    <row r="46" spans="2:17" ht="12.95">
      <c r="B46" s="5" t="s">
        <v>78</v>
      </c>
      <c r="C46" s="37">
        <f>SUM(C42:C45)</f>
        <v>16323052</v>
      </c>
      <c r="D46" s="37">
        <f>SUM(D42:D45)</f>
        <v>15247248</v>
      </c>
      <c r="E46" s="10">
        <f>ROUND(+J46/D46,3)</f>
        <v>7.0999999999999994E-2</v>
      </c>
      <c r="J46" s="28">
        <f>+C46-D46</f>
        <v>1075804</v>
      </c>
      <c r="K46" s="27">
        <f>-J46+I26</f>
        <v>-5230723</v>
      </c>
      <c r="L46" s="56" t="s">
        <v>79</v>
      </c>
      <c r="M46" s="37">
        <v>16323052</v>
      </c>
      <c r="N46" s="37">
        <v>15247248</v>
      </c>
      <c r="O46" s="411">
        <v>7.0999999999999994E-2</v>
      </c>
    </row>
    <row r="47" spans="2:17" ht="15" customHeight="1">
      <c r="C47" s="25"/>
      <c r="D47" s="25"/>
    </row>
    <row r="48" spans="2:17" ht="15" customHeight="1">
      <c r="C48" s="24"/>
      <c r="D48" s="24"/>
      <c r="G48" s="24"/>
    </row>
    <row r="52" spans="2:3" ht="15" customHeight="1">
      <c r="B52" s="4"/>
      <c r="C52" s="26"/>
    </row>
    <row r="53" spans="2:3" ht="15" customHeight="1">
      <c r="B53" s="4"/>
      <c r="C53" s="26"/>
    </row>
    <row r="54" spans="2:3" ht="15" customHeight="1">
      <c r="B54" s="4"/>
      <c r="C54" s="26"/>
    </row>
  </sheetData>
  <mergeCells count="51">
    <mergeCell ref="M25:N25"/>
    <mergeCell ref="M26:N26"/>
    <mergeCell ref="M27:N27"/>
    <mergeCell ref="L28:M28"/>
    <mergeCell ref="M22:N22"/>
    <mergeCell ref="O22:O23"/>
    <mergeCell ref="R22:R23"/>
    <mergeCell ref="M23:N23"/>
    <mergeCell ref="M24:N24"/>
    <mergeCell ref="J13:K13"/>
    <mergeCell ref="M13:N13"/>
    <mergeCell ref="O13:P13"/>
    <mergeCell ref="M21:O21"/>
    <mergeCell ref="Q21:R21"/>
    <mergeCell ref="J12:K12"/>
    <mergeCell ref="M12:N12"/>
    <mergeCell ref="O12:P12"/>
    <mergeCell ref="K3:M3"/>
    <mergeCell ref="N3:O3"/>
    <mergeCell ref="P3:Q3"/>
    <mergeCell ref="J10:K10"/>
    <mergeCell ref="M10:N10"/>
    <mergeCell ref="O10:P10"/>
    <mergeCell ref="J11:K11"/>
    <mergeCell ref="M11:N11"/>
    <mergeCell ref="O11:P11"/>
    <mergeCell ref="J8:K8"/>
    <mergeCell ref="M8:N8"/>
    <mergeCell ref="O8:P8"/>
    <mergeCell ref="J9:K9"/>
    <mergeCell ref="M9:N9"/>
    <mergeCell ref="O9:P9"/>
    <mergeCell ref="J6:K6"/>
    <mergeCell ref="M6:N6"/>
    <mergeCell ref="O6:P6"/>
    <mergeCell ref="J7:K7"/>
    <mergeCell ref="M7:N7"/>
    <mergeCell ref="O7:P7"/>
    <mergeCell ref="J4:K4"/>
    <mergeCell ref="M4:N4"/>
    <mergeCell ref="O4:P4"/>
    <mergeCell ref="J5:K5"/>
    <mergeCell ref="M5:N5"/>
    <mergeCell ref="O5:P5"/>
    <mergeCell ref="C20:D20"/>
    <mergeCell ref="F20:G20"/>
    <mergeCell ref="I20:J20"/>
    <mergeCell ref="D21:D22"/>
    <mergeCell ref="G21:G22"/>
    <mergeCell ref="I21:I22"/>
    <mergeCell ref="J21:J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O29"/>
  <sheetViews>
    <sheetView showGridLines="0" topLeftCell="A16" workbookViewId="0">
      <selection activeCell="G34" sqref="G34"/>
    </sheetView>
  </sheetViews>
  <sheetFormatPr defaultColWidth="11.42578125" defaultRowHeight="12.95"/>
  <cols>
    <col min="1" max="1" width="11.42578125" style="6"/>
    <col min="2" max="2" width="25.28515625" style="6" bestFit="1" customWidth="1"/>
    <col min="3" max="4" width="12" style="6" bestFit="1" customWidth="1"/>
    <col min="5" max="9" width="11.42578125" style="6"/>
    <col min="10" max="10" width="26" style="6" customWidth="1"/>
    <col min="11" max="11" width="12.28515625" style="6" bestFit="1" customWidth="1"/>
    <col min="12" max="16384" width="11.42578125" style="6"/>
  </cols>
  <sheetData>
    <row r="1" spans="2:15">
      <c r="B1" s="1" t="s">
        <v>80</v>
      </c>
    </row>
    <row r="3" spans="2:15" ht="13.5" thickBot="1">
      <c r="B3" s="3" t="s">
        <v>1</v>
      </c>
      <c r="C3" s="421" t="str">
        <f>+Resultados!C3</f>
        <v xml:space="preserve">         Jun.22</v>
      </c>
      <c r="D3" s="421" t="str">
        <f>+Resultados!D3</f>
        <v xml:space="preserve">         Jun.21</v>
      </c>
      <c r="E3" s="421" t="s">
        <v>51</v>
      </c>
      <c r="G3" s="421" t="str">
        <f>+Resultados!F3</f>
        <v>2022 / 2021</v>
      </c>
      <c r="J3" s="55" t="s">
        <v>81</v>
      </c>
      <c r="K3" s="316" t="s">
        <v>35</v>
      </c>
      <c r="L3" s="316" t="s">
        <v>36</v>
      </c>
      <c r="M3" s="316" t="s">
        <v>51</v>
      </c>
      <c r="N3" s="56"/>
      <c r="O3" s="316" t="s">
        <v>82</v>
      </c>
    </row>
    <row r="4" spans="2:15">
      <c r="B4" s="4" t="s">
        <v>83</v>
      </c>
      <c r="C4" s="7">
        <f>+K4</f>
        <v>264897469</v>
      </c>
      <c r="D4" s="7">
        <f t="shared" ref="D4:E14" si="0">+L4</f>
        <v>241684637</v>
      </c>
      <c r="E4" s="408">
        <f t="shared" si="0"/>
        <v>9.6000000000000002E-2</v>
      </c>
      <c r="G4" s="7">
        <f>+C4-D4</f>
        <v>23212832</v>
      </c>
      <c r="J4" s="32" t="s">
        <v>84</v>
      </c>
      <c r="K4" s="19">
        <v>264897469</v>
      </c>
      <c r="L4" s="19">
        <v>241684637</v>
      </c>
      <c r="M4" s="408">
        <v>9.6000000000000002E-2</v>
      </c>
      <c r="N4" s="57"/>
      <c r="O4" s="19">
        <v>23212832</v>
      </c>
    </row>
    <row r="5" spans="2:15">
      <c r="B5" s="4" t="s">
        <v>85</v>
      </c>
      <c r="C5" s="7">
        <f t="shared" ref="C5:C14" si="1">+K5</f>
        <v>525438</v>
      </c>
      <c r="D5" s="7">
        <f t="shared" si="0"/>
        <v>376102</v>
      </c>
      <c r="E5" s="408">
        <f t="shared" si="0"/>
        <v>0.39700000000000002</v>
      </c>
      <c r="F5" s="22"/>
      <c r="G5" s="7">
        <f t="shared" ref="G5:G14" si="2">+C5-D5</f>
        <v>149336</v>
      </c>
      <c r="J5" s="32" t="s">
        <v>86</v>
      </c>
      <c r="K5" s="19">
        <v>525438</v>
      </c>
      <c r="L5" s="19">
        <v>376102</v>
      </c>
      <c r="M5" s="408">
        <v>0.39700000000000002</v>
      </c>
      <c r="N5" s="57"/>
      <c r="O5" s="19">
        <v>149336</v>
      </c>
    </row>
    <row r="6" spans="2:15">
      <c r="B6" s="4" t="s">
        <v>87</v>
      </c>
      <c r="C6" s="7">
        <f t="shared" si="1"/>
        <v>-119478211</v>
      </c>
      <c r="D6" s="7">
        <f t="shared" si="0"/>
        <v>-105710531</v>
      </c>
      <c r="E6" s="408">
        <f t="shared" si="0"/>
        <v>0.13</v>
      </c>
      <c r="G6" s="7">
        <f t="shared" si="2"/>
        <v>-13767680</v>
      </c>
      <c r="J6" s="32" t="s">
        <v>14</v>
      </c>
      <c r="K6" s="19">
        <v>-119478211</v>
      </c>
      <c r="L6" s="19">
        <v>-105710531</v>
      </c>
      <c r="M6" s="408">
        <v>0.13</v>
      </c>
      <c r="N6" s="57"/>
      <c r="O6" s="19">
        <v>-13767680</v>
      </c>
    </row>
    <row r="7" spans="2:15" s="11" customFormat="1">
      <c r="B7" s="5" t="s">
        <v>15</v>
      </c>
      <c r="C7" s="9">
        <f t="shared" si="1"/>
        <v>145944696</v>
      </c>
      <c r="D7" s="9">
        <f t="shared" si="0"/>
        <v>136350208</v>
      </c>
      <c r="E7" s="408">
        <f t="shared" si="0"/>
        <v>7.0000000000000007E-2</v>
      </c>
      <c r="G7" s="9">
        <f t="shared" si="2"/>
        <v>9594488</v>
      </c>
      <c r="J7" s="56" t="s">
        <v>15</v>
      </c>
      <c r="K7" s="37">
        <v>145944696</v>
      </c>
      <c r="L7" s="37">
        <v>136350208</v>
      </c>
      <c r="M7" s="411">
        <v>7.0000000000000007E-2</v>
      </c>
      <c r="N7" s="412"/>
      <c r="O7" s="37">
        <v>9594488</v>
      </c>
    </row>
    <row r="8" spans="2:15">
      <c r="B8" s="4" t="s">
        <v>88</v>
      </c>
      <c r="C8" s="7">
        <f t="shared" si="1"/>
        <v>-35523379</v>
      </c>
      <c r="D8" s="7">
        <f t="shared" si="0"/>
        <v>-32874957</v>
      </c>
      <c r="E8" s="408">
        <f t="shared" si="0"/>
        <v>8.1000000000000003E-2</v>
      </c>
      <c r="G8" s="7">
        <f t="shared" si="2"/>
        <v>-2648422</v>
      </c>
      <c r="J8" s="32" t="s">
        <v>17</v>
      </c>
      <c r="K8" s="19">
        <v>-35523379</v>
      </c>
      <c r="L8" s="19">
        <v>-32874957</v>
      </c>
      <c r="M8" s="408">
        <v>8.1000000000000003E-2</v>
      </c>
      <c r="N8" s="57"/>
      <c r="O8" s="19">
        <v>-2648422</v>
      </c>
    </row>
    <row r="9" spans="2:15" s="11" customFormat="1">
      <c r="B9" s="5" t="s">
        <v>89</v>
      </c>
      <c r="C9" s="9">
        <f t="shared" si="1"/>
        <v>110421317</v>
      </c>
      <c r="D9" s="9">
        <f t="shared" si="0"/>
        <v>103475251</v>
      </c>
      <c r="E9" s="411">
        <f t="shared" si="0"/>
        <v>6.7000000000000004E-2</v>
      </c>
      <c r="G9" s="9">
        <f t="shared" si="2"/>
        <v>6946066</v>
      </c>
      <c r="J9" s="56" t="s">
        <v>19</v>
      </c>
      <c r="K9" s="37">
        <v>110421317</v>
      </c>
      <c r="L9" s="37">
        <v>103475251</v>
      </c>
      <c r="M9" s="411">
        <v>6.7000000000000004E-2</v>
      </c>
      <c r="N9" s="412"/>
      <c r="O9" s="37">
        <v>6946066</v>
      </c>
    </row>
    <row r="10" spans="2:15">
      <c r="B10" s="4" t="s">
        <v>90</v>
      </c>
      <c r="C10" s="7">
        <f t="shared" si="1"/>
        <v>-1013919</v>
      </c>
      <c r="D10" s="7">
        <f t="shared" si="0"/>
        <v>-2175145</v>
      </c>
      <c r="E10" s="408">
        <f t="shared" si="0"/>
        <v>-0.53400000000000003</v>
      </c>
      <c r="F10" s="22"/>
      <c r="G10" s="7">
        <f t="shared" si="2"/>
        <v>1161226</v>
      </c>
      <c r="J10" s="32" t="s">
        <v>21</v>
      </c>
      <c r="K10" s="19">
        <v>-1013919</v>
      </c>
      <c r="L10" s="19">
        <v>-2175145</v>
      </c>
      <c r="M10" s="408">
        <v>-0.53400000000000003</v>
      </c>
      <c r="N10" s="57"/>
      <c r="O10" s="19">
        <v>1161226</v>
      </c>
    </row>
    <row r="11" spans="2:15">
      <c r="B11" s="4" t="s">
        <v>91</v>
      </c>
      <c r="C11" s="7">
        <f t="shared" si="1"/>
        <v>-70040011</v>
      </c>
      <c r="D11" s="7">
        <f t="shared" si="0"/>
        <v>-30274728</v>
      </c>
      <c r="E11" s="408">
        <f t="shared" si="0"/>
        <v>1.3129999999999999</v>
      </c>
      <c r="G11" s="7">
        <f t="shared" si="2"/>
        <v>-39765283</v>
      </c>
      <c r="J11" s="32" t="s">
        <v>23</v>
      </c>
      <c r="K11" s="19">
        <v>-70040011</v>
      </c>
      <c r="L11" s="19">
        <v>-30274728</v>
      </c>
      <c r="M11" s="408">
        <v>1.3129999999999999</v>
      </c>
      <c r="N11" s="57"/>
      <c r="O11" s="19">
        <v>-39765283</v>
      </c>
    </row>
    <row r="12" spans="2:15">
      <c r="B12" s="4" t="s">
        <v>92</v>
      </c>
      <c r="C12" s="7">
        <f t="shared" si="1"/>
        <v>2612849</v>
      </c>
      <c r="D12" s="7">
        <f t="shared" si="0"/>
        <v>-14669491</v>
      </c>
      <c r="E12" s="408">
        <f t="shared" si="0"/>
        <v>-1.1779999999999999</v>
      </c>
      <c r="G12" s="7">
        <f t="shared" si="2"/>
        <v>17282340</v>
      </c>
      <c r="J12" s="32" t="s">
        <v>25</v>
      </c>
      <c r="K12" s="19">
        <v>2612849</v>
      </c>
      <c r="L12" s="19">
        <v>-14669491</v>
      </c>
      <c r="M12" s="408">
        <v>-1.1779999999999999</v>
      </c>
      <c r="N12" s="57"/>
      <c r="O12" s="19">
        <v>17282340</v>
      </c>
    </row>
    <row r="13" spans="2:15">
      <c r="B13" s="32" t="s">
        <v>30</v>
      </c>
      <c r="C13" s="7">
        <f t="shared" si="1"/>
        <v>-1179</v>
      </c>
      <c r="D13" s="7">
        <f t="shared" si="0"/>
        <v>-977</v>
      </c>
      <c r="E13" s="408">
        <f t="shared" si="0"/>
        <v>0.20699999999999999</v>
      </c>
      <c r="G13" s="7">
        <f t="shared" si="2"/>
        <v>-202</v>
      </c>
      <c r="J13" s="32" t="s">
        <v>27</v>
      </c>
      <c r="K13" s="19">
        <v>-1179</v>
      </c>
      <c r="L13" s="57">
        <v>-977</v>
      </c>
      <c r="M13" s="408">
        <v>0.20699999999999999</v>
      </c>
      <c r="N13" s="57"/>
      <c r="O13" s="57">
        <v>-202</v>
      </c>
    </row>
    <row r="14" spans="2:15" s="11" customFormat="1">
      <c r="B14" s="56" t="s">
        <v>31</v>
      </c>
      <c r="C14" s="9">
        <f t="shared" si="1"/>
        <v>41979057</v>
      </c>
      <c r="D14" s="9">
        <f t="shared" si="0"/>
        <v>56354910</v>
      </c>
      <c r="E14" s="411">
        <f t="shared" si="0"/>
        <v>-0.255</v>
      </c>
      <c r="G14" s="9">
        <f t="shared" si="2"/>
        <v>-14375853</v>
      </c>
      <c r="J14" s="56" t="s">
        <v>29</v>
      </c>
      <c r="K14" s="37">
        <v>41979057</v>
      </c>
      <c r="L14" s="37">
        <v>56354910</v>
      </c>
      <c r="M14" s="411">
        <v>-0.255</v>
      </c>
      <c r="N14" s="57"/>
      <c r="O14" s="19">
        <v>-14375853</v>
      </c>
    </row>
    <row r="15" spans="2:15">
      <c r="C15" s="265"/>
      <c r="D15" s="265"/>
      <c r="J15" s="35"/>
      <c r="M15" s="36"/>
    </row>
    <row r="16" spans="2:15">
      <c r="C16" s="36"/>
      <c r="D16" s="36"/>
      <c r="J16" s="35"/>
    </row>
    <row r="17" spans="2:15">
      <c r="B17" s="1" t="s">
        <v>93</v>
      </c>
      <c r="J17" s="35"/>
    </row>
    <row r="18" spans="2:15">
      <c r="J18" s="35"/>
    </row>
    <row r="19" spans="2:15" ht="13.5" thickBot="1">
      <c r="B19" s="3" t="s">
        <v>1</v>
      </c>
      <c r="C19" s="421" t="str">
        <f>+C3</f>
        <v xml:space="preserve">         Jun.22</v>
      </c>
      <c r="D19" s="421" t="str">
        <f>+D3</f>
        <v xml:space="preserve">         Jun.21</v>
      </c>
      <c r="E19" s="421" t="s">
        <v>51</v>
      </c>
      <c r="G19" s="421" t="str">
        <f>+G3</f>
        <v>2022 / 2021</v>
      </c>
      <c r="J19" s="3" t="s">
        <v>1</v>
      </c>
      <c r="K19" s="316" t="s">
        <v>35</v>
      </c>
      <c r="L19" s="316" t="s">
        <v>36</v>
      </c>
      <c r="M19" s="316" t="s">
        <v>51</v>
      </c>
      <c r="N19" s="56"/>
      <c r="O19" s="316" t="s">
        <v>82</v>
      </c>
    </row>
    <row r="20" spans="2:15">
      <c r="B20" s="4" t="s">
        <v>83</v>
      </c>
      <c r="C20" s="401">
        <f>+K20</f>
        <v>16325136</v>
      </c>
      <c r="D20" s="401">
        <f>+L20</f>
        <v>15263433</v>
      </c>
      <c r="E20" s="8">
        <f t="shared" ref="E20:E29" si="3">ROUND(+G20/D20,3)</f>
        <v>7.0000000000000007E-2</v>
      </c>
      <c r="G20" s="7">
        <f>+C20-D20</f>
        <v>1061703</v>
      </c>
      <c r="J20" s="4" t="s">
        <v>83</v>
      </c>
      <c r="K20" s="19">
        <v>16325136</v>
      </c>
      <c r="L20" s="19">
        <v>15263433</v>
      </c>
      <c r="M20" s="408">
        <v>7.0000000000000007E-2</v>
      </c>
      <c r="N20" s="57"/>
      <c r="O20" s="19">
        <v>1061703</v>
      </c>
    </row>
    <row r="21" spans="2:15">
      <c r="B21" s="4" t="s">
        <v>85</v>
      </c>
      <c r="C21" s="401">
        <f t="shared" ref="C21:D29" si="4">+K21</f>
        <v>2162081</v>
      </c>
      <c r="D21" s="401">
        <f t="shared" si="4"/>
        <v>1763861</v>
      </c>
      <c r="E21" s="8">
        <f t="shared" si="3"/>
        <v>0.22600000000000001</v>
      </c>
      <c r="G21" s="7">
        <f t="shared" ref="G21:G29" si="5">+C21-D21</f>
        <v>398220</v>
      </c>
      <c r="J21" s="4" t="s">
        <v>85</v>
      </c>
      <c r="K21" s="19">
        <v>2162081</v>
      </c>
      <c r="L21" s="19">
        <v>1763861</v>
      </c>
      <c r="M21" s="408">
        <v>0.22600000000000001</v>
      </c>
      <c r="N21" s="57"/>
      <c r="O21" s="19">
        <v>398220</v>
      </c>
    </row>
    <row r="22" spans="2:15">
      <c r="B22" s="4" t="s">
        <v>87</v>
      </c>
      <c r="C22" s="401">
        <f t="shared" si="4"/>
        <v>-15373524</v>
      </c>
      <c r="D22" s="401">
        <f t="shared" si="4"/>
        <v>-14015229</v>
      </c>
      <c r="E22" s="8">
        <f t="shared" si="3"/>
        <v>9.7000000000000003E-2</v>
      </c>
      <c r="G22" s="7">
        <f t="shared" si="5"/>
        <v>-1358295</v>
      </c>
      <c r="J22" s="4" t="s">
        <v>87</v>
      </c>
      <c r="K22" s="19">
        <v>-15373524</v>
      </c>
      <c r="L22" s="19">
        <v>-14015229</v>
      </c>
      <c r="M22" s="408">
        <v>9.7000000000000003E-2</v>
      </c>
      <c r="N22" s="57"/>
      <c r="O22" s="19">
        <v>-1358295</v>
      </c>
    </row>
    <row r="23" spans="2:15">
      <c r="B23" s="5" t="s">
        <v>15</v>
      </c>
      <c r="C23" s="401">
        <f t="shared" si="4"/>
        <v>3113693</v>
      </c>
      <c r="D23" s="401">
        <f t="shared" si="4"/>
        <v>3012065</v>
      </c>
      <c r="E23" s="10">
        <f t="shared" si="3"/>
        <v>3.4000000000000002E-2</v>
      </c>
      <c r="F23" s="11"/>
      <c r="G23" s="9">
        <f t="shared" si="5"/>
        <v>101628</v>
      </c>
      <c r="J23" s="5" t="s">
        <v>15</v>
      </c>
      <c r="K23" s="37">
        <v>3113693</v>
      </c>
      <c r="L23" s="37">
        <v>3012065</v>
      </c>
      <c r="M23" s="411">
        <v>3.4000000000000002E-2</v>
      </c>
      <c r="N23" s="412"/>
      <c r="O23" s="37">
        <v>101628</v>
      </c>
    </row>
    <row r="24" spans="2:15">
      <c r="B24" s="4" t="s">
        <v>88</v>
      </c>
      <c r="C24" s="401">
        <f t="shared" si="4"/>
        <v>-1000066</v>
      </c>
      <c r="D24" s="401">
        <f t="shared" si="4"/>
        <v>-987566</v>
      </c>
      <c r="E24" s="8">
        <f t="shared" si="3"/>
        <v>1.2999999999999999E-2</v>
      </c>
      <c r="G24" s="7">
        <f t="shared" si="5"/>
        <v>-12500</v>
      </c>
      <c r="J24" s="4" t="s">
        <v>88</v>
      </c>
      <c r="K24" s="19">
        <v>-1000066</v>
      </c>
      <c r="L24" s="19">
        <v>-987566</v>
      </c>
      <c r="M24" s="408">
        <v>1.2999999999999999E-2</v>
      </c>
      <c r="N24" s="57"/>
      <c r="O24" s="19">
        <v>-12500</v>
      </c>
    </row>
    <row r="25" spans="2:15">
      <c r="B25" s="5" t="s">
        <v>89</v>
      </c>
      <c r="C25" s="401">
        <f t="shared" si="4"/>
        <v>2113627</v>
      </c>
      <c r="D25" s="401">
        <f t="shared" si="4"/>
        <v>2024499</v>
      </c>
      <c r="E25" s="10">
        <f t="shared" si="3"/>
        <v>4.3999999999999997E-2</v>
      </c>
      <c r="F25" s="11"/>
      <c r="G25" s="9">
        <f t="shared" si="5"/>
        <v>89128</v>
      </c>
      <c r="J25" s="5" t="s">
        <v>89</v>
      </c>
      <c r="K25" s="37">
        <v>2113627</v>
      </c>
      <c r="L25" s="37">
        <v>2024499</v>
      </c>
      <c r="M25" s="411">
        <v>4.3999999999999997E-2</v>
      </c>
      <c r="N25" s="412"/>
      <c r="O25" s="37">
        <v>89128</v>
      </c>
    </row>
    <row r="26" spans="2:15">
      <c r="B26" s="4" t="s">
        <v>90</v>
      </c>
      <c r="C26" s="401">
        <f t="shared" si="4"/>
        <v>-152539</v>
      </c>
      <c r="D26" s="401">
        <f t="shared" si="4"/>
        <v>160543</v>
      </c>
      <c r="E26" s="8">
        <f t="shared" si="3"/>
        <v>-1.95</v>
      </c>
      <c r="G26" s="7">
        <f t="shared" si="5"/>
        <v>-313082</v>
      </c>
      <c r="J26" s="4" t="s">
        <v>90</v>
      </c>
      <c r="K26" s="19">
        <v>-152539</v>
      </c>
      <c r="L26" s="19">
        <v>160543</v>
      </c>
      <c r="M26" s="408">
        <v>-1.95</v>
      </c>
      <c r="N26" s="57"/>
      <c r="O26" s="19">
        <v>-313082</v>
      </c>
    </row>
    <row r="27" spans="2:15">
      <c r="B27" s="4" t="s">
        <v>91</v>
      </c>
      <c r="C27" s="401">
        <f t="shared" si="4"/>
        <v>-80872</v>
      </c>
      <c r="D27" s="401">
        <f t="shared" si="4"/>
        <v>-34777</v>
      </c>
      <c r="E27" s="8">
        <f t="shared" si="3"/>
        <v>1.325</v>
      </c>
      <c r="G27" s="7">
        <f t="shared" si="5"/>
        <v>-46095</v>
      </c>
      <c r="J27" s="4" t="s">
        <v>91</v>
      </c>
      <c r="K27" s="19">
        <v>-80872</v>
      </c>
      <c r="L27" s="19">
        <v>-34777</v>
      </c>
      <c r="M27" s="408">
        <v>1.325</v>
      </c>
      <c r="N27" s="57"/>
      <c r="O27" s="19">
        <v>-46095</v>
      </c>
    </row>
    <row r="28" spans="2:15">
      <c r="B28" s="4" t="s">
        <v>92</v>
      </c>
      <c r="C28" s="401">
        <f t="shared" si="4"/>
        <v>-159566</v>
      </c>
      <c r="D28" s="401">
        <f t="shared" si="4"/>
        <v>-214033</v>
      </c>
      <c r="E28" s="57" t="s">
        <v>94</v>
      </c>
      <c r="F28" s="57"/>
      <c r="G28" s="7">
        <f t="shared" si="5"/>
        <v>54467</v>
      </c>
      <c r="J28" s="4" t="s">
        <v>92</v>
      </c>
      <c r="K28" s="19">
        <v>-159566</v>
      </c>
      <c r="L28" s="19">
        <v>-214033</v>
      </c>
      <c r="M28" s="408">
        <v>-0.254</v>
      </c>
      <c r="N28" s="57"/>
      <c r="O28" s="19">
        <v>54467</v>
      </c>
    </row>
    <row r="29" spans="2:15">
      <c r="B29" s="56" t="s">
        <v>31</v>
      </c>
      <c r="C29" s="401">
        <f t="shared" si="4"/>
        <v>1720650</v>
      </c>
      <c r="D29" s="401">
        <f t="shared" si="4"/>
        <v>1936232</v>
      </c>
      <c r="E29" s="10">
        <f t="shared" si="3"/>
        <v>-0.111</v>
      </c>
      <c r="F29" s="11"/>
      <c r="G29" s="9">
        <f t="shared" si="5"/>
        <v>-215582</v>
      </c>
      <c r="J29" s="5" t="s">
        <v>95</v>
      </c>
      <c r="K29" s="37">
        <v>1720650</v>
      </c>
      <c r="L29" s="37">
        <v>1936232</v>
      </c>
      <c r="M29" s="411">
        <v>-0.111</v>
      </c>
      <c r="N29" s="412"/>
      <c r="O29" s="37">
        <v>-215582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40"/>
  <sheetViews>
    <sheetView showGridLines="0" workbookViewId="0">
      <selection activeCell="C4" sqref="C4"/>
    </sheetView>
  </sheetViews>
  <sheetFormatPr defaultColWidth="11.42578125" defaultRowHeight="15" customHeight="1"/>
  <cols>
    <col min="1" max="1" width="4" style="39" customWidth="1"/>
    <col min="2" max="2" width="25.28515625" style="39" bestFit="1" customWidth="1"/>
    <col min="3" max="16384" width="11.42578125" style="39"/>
  </cols>
  <sheetData>
    <row r="1" spans="1:14" ht="15" customHeight="1">
      <c r="A1" s="38" t="s">
        <v>96</v>
      </c>
    </row>
    <row r="3" spans="1:14" ht="15" customHeight="1" thickBot="1">
      <c r="B3" s="3" t="s">
        <v>97</v>
      </c>
      <c r="C3" s="421" t="s">
        <v>98</v>
      </c>
      <c r="D3" s="421" t="s">
        <v>99</v>
      </c>
      <c r="E3" s="421" t="s">
        <v>51</v>
      </c>
      <c r="F3" s="6"/>
      <c r="G3" s="421" t="s">
        <v>100</v>
      </c>
    </row>
    <row r="4" spans="1:14" ht="15" customHeight="1">
      <c r="B4" s="4" t="s">
        <v>101</v>
      </c>
      <c r="C4" s="7">
        <f>+Resultado!F5</f>
        <v>130883929</v>
      </c>
      <c r="D4" s="7">
        <f>+Resultado!G5</f>
        <v>120404559</v>
      </c>
      <c r="E4" s="8">
        <f>+ROUND(G4/D4,3)</f>
        <v>8.6999999999999994E-2</v>
      </c>
      <c r="F4" s="6"/>
      <c r="G4" s="7">
        <f>+C4-D4</f>
        <v>10479370</v>
      </c>
    </row>
    <row r="5" spans="1:14" s="40" customFormat="1" ht="15" customHeight="1">
      <c r="B5" s="4" t="s">
        <v>102</v>
      </c>
      <c r="C5" s="7">
        <f>+Resultado!F6+Resultado!F7+Resultado!F10</f>
        <v>-66601168</v>
      </c>
      <c r="D5" s="7">
        <f>+Resultado!G6+Resultado!G7+Resultado!G10</f>
        <v>-63049965</v>
      </c>
      <c r="E5" s="8">
        <f t="shared" ref="E5:E15" si="0">+ROUND(G5/D5,3)</f>
        <v>5.6000000000000001E-2</v>
      </c>
      <c r="F5" s="6"/>
      <c r="G5" s="7">
        <f t="shared" ref="G5:G15" si="1">+C5-D5</f>
        <v>-3551203</v>
      </c>
    </row>
    <row r="6" spans="1:14" s="40" customFormat="1" ht="15" customHeight="1">
      <c r="B6" s="5" t="s">
        <v>15</v>
      </c>
      <c r="C6" s="9">
        <f>SUM(C4:C5)</f>
        <v>64282761</v>
      </c>
      <c r="D6" s="9">
        <f>SUM(D4:D5)</f>
        <v>57354594</v>
      </c>
      <c r="E6" s="10">
        <f t="shared" si="0"/>
        <v>0.121</v>
      </c>
      <c r="F6" s="11"/>
      <c r="G6" s="9">
        <f t="shared" si="1"/>
        <v>6928167</v>
      </c>
    </row>
    <row r="7" spans="1:14" s="40" customFormat="1" ht="15" customHeight="1">
      <c r="B7" s="4" t="s">
        <v>103</v>
      </c>
      <c r="C7" s="7">
        <f>+Resultado!F8</f>
        <v>-18978198</v>
      </c>
      <c r="D7" s="7">
        <f>+Resultado!G8</f>
        <v>-17109521</v>
      </c>
      <c r="E7" s="8">
        <f t="shared" si="0"/>
        <v>0.109</v>
      </c>
      <c r="F7" s="6"/>
      <c r="G7" s="7">
        <f t="shared" si="1"/>
        <v>-1868677</v>
      </c>
      <c r="L7" s="26"/>
      <c r="M7" s="26"/>
      <c r="N7" s="41"/>
    </row>
    <row r="8" spans="1:14" s="40" customFormat="1" ht="15" customHeight="1">
      <c r="B8" s="5" t="s">
        <v>104</v>
      </c>
      <c r="C8" s="9">
        <f>+C6+C7</f>
        <v>45304563</v>
      </c>
      <c r="D8" s="9">
        <f>+D6+D7</f>
        <v>40245073</v>
      </c>
      <c r="E8" s="10">
        <f t="shared" si="0"/>
        <v>0.126</v>
      </c>
      <c r="F8" s="11"/>
      <c r="G8" s="9">
        <f t="shared" si="1"/>
        <v>5059490</v>
      </c>
    </row>
    <row r="9" spans="1:14" s="40" customFormat="1" ht="15" customHeight="1">
      <c r="B9" s="4" t="s">
        <v>105</v>
      </c>
      <c r="C9" s="7">
        <f>+Resultado!F11</f>
        <v>-954770</v>
      </c>
      <c r="D9" s="7">
        <f>+Resultado!G11</f>
        <v>-1003791</v>
      </c>
      <c r="E9" s="8">
        <f t="shared" si="0"/>
        <v>-4.9000000000000002E-2</v>
      </c>
      <c r="F9" s="57"/>
      <c r="G9" s="7">
        <f t="shared" si="1"/>
        <v>49021</v>
      </c>
    </row>
    <row r="10" spans="1:14" s="40" customFormat="1" ht="15" customHeight="1">
      <c r="B10" s="4" t="s">
        <v>106</v>
      </c>
      <c r="C10" s="7">
        <f>+Resultado!F9</f>
        <v>0</v>
      </c>
      <c r="D10" s="7">
        <f>+Resultado!G9</f>
        <v>0</v>
      </c>
      <c r="E10" s="8" t="e">
        <f t="shared" si="0"/>
        <v>#DIV/0!</v>
      </c>
      <c r="F10" s="57"/>
      <c r="G10" s="7">
        <f t="shared" si="1"/>
        <v>0</v>
      </c>
    </row>
    <row r="11" spans="1:14" s="40" customFormat="1" ht="15" customHeight="1">
      <c r="B11" s="4" t="s">
        <v>107</v>
      </c>
      <c r="C11" s="7">
        <f>+Resultado!F13+Resultado!F14+Resultado!F15+Resultado!F16</f>
        <v>-43420054</v>
      </c>
      <c r="D11" s="7">
        <f>+Resultado!G13+Resultado!G14+Resultado!G15+Resultado!G16</f>
        <v>-14834616</v>
      </c>
      <c r="E11" s="8">
        <f t="shared" si="0"/>
        <v>1.927</v>
      </c>
      <c r="F11" s="6"/>
      <c r="G11" s="7">
        <f t="shared" si="1"/>
        <v>-28585438</v>
      </c>
    </row>
    <row r="12" spans="1:14" s="40" customFormat="1" ht="15" customHeight="1">
      <c r="B12" s="4" t="s">
        <v>25</v>
      </c>
      <c r="C12" s="7">
        <f>+Resultado!F19</f>
        <v>8759753</v>
      </c>
      <c r="D12" s="7">
        <f>+Resultado!G19</f>
        <v>-4656780</v>
      </c>
      <c r="E12" s="8">
        <f t="shared" si="0"/>
        <v>-2.8809999999999998</v>
      </c>
      <c r="F12" s="6"/>
      <c r="G12" s="7">
        <f t="shared" si="1"/>
        <v>13416533</v>
      </c>
    </row>
    <row r="13" spans="1:14" s="40" customFormat="1" ht="15" customHeight="1">
      <c r="B13" s="4" t="s">
        <v>28</v>
      </c>
      <c r="C13" s="7">
        <f>+Resultado!F21</f>
        <v>0</v>
      </c>
      <c r="D13" s="7">
        <f>+Resultado!G21</f>
        <v>0</v>
      </c>
      <c r="E13" s="8" t="e">
        <f t="shared" si="0"/>
        <v>#DIV/0!</v>
      </c>
      <c r="F13" s="6"/>
      <c r="G13" s="7">
        <f t="shared" si="1"/>
        <v>0</v>
      </c>
    </row>
    <row r="14" spans="1:14" s="40" customFormat="1" ht="15" customHeight="1">
      <c r="B14" s="4" t="s">
        <v>27</v>
      </c>
      <c r="C14" s="7">
        <f>-Resultado!F26</f>
        <v>-4965438</v>
      </c>
      <c r="D14" s="7">
        <f>-Resultado!G26</f>
        <v>-9955141</v>
      </c>
      <c r="E14" s="8">
        <f t="shared" si="0"/>
        <v>-0.501</v>
      </c>
      <c r="F14" s="6"/>
      <c r="G14" s="7">
        <f t="shared" si="1"/>
        <v>4989703</v>
      </c>
    </row>
    <row r="15" spans="1:14" s="40" customFormat="1" ht="15" customHeight="1">
      <c r="B15" s="5" t="s">
        <v>108</v>
      </c>
      <c r="C15" s="9">
        <f>SUM(C8:C14)</f>
        <v>4724054</v>
      </c>
      <c r="D15" s="9">
        <f>SUM(D8:D14)</f>
        <v>9794745</v>
      </c>
      <c r="E15" s="10">
        <f t="shared" si="0"/>
        <v>-0.51800000000000002</v>
      </c>
      <c r="F15" s="11"/>
      <c r="G15" s="9">
        <f t="shared" si="1"/>
        <v>-5070691</v>
      </c>
    </row>
    <row r="16" spans="1:14" s="40" customFormat="1" ht="15" customHeight="1">
      <c r="C16" s="37"/>
    </row>
    <row r="17" s="40" customFormat="1" ht="15" customHeight="1"/>
    <row r="18" s="40" customFormat="1" ht="15" customHeight="1"/>
    <row r="19" s="40" customFormat="1" ht="15" customHeight="1"/>
    <row r="20" s="40" customFormat="1" ht="15" customHeight="1"/>
    <row r="21" s="40" customFormat="1" ht="15" customHeight="1"/>
    <row r="22" s="40" customFormat="1" ht="15" customHeight="1"/>
    <row r="23" s="40" customFormat="1" ht="15" customHeight="1"/>
    <row r="24" s="40" customFormat="1" ht="15" customHeight="1"/>
    <row r="25" s="40" customFormat="1" ht="15" customHeight="1"/>
    <row r="26" s="40" customFormat="1" ht="15" customHeight="1"/>
    <row r="27" s="40" customFormat="1" ht="15" customHeight="1"/>
    <row r="28" s="40" customFormat="1" ht="15" customHeight="1"/>
    <row r="29" s="40" customFormat="1" ht="15" customHeight="1"/>
    <row r="40" s="39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0"/>
  <sheetViews>
    <sheetView showGridLines="0" workbookViewId="0">
      <selection activeCell="I14" sqref="I14"/>
    </sheetView>
  </sheetViews>
  <sheetFormatPr defaultColWidth="11.42578125" defaultRowHeight="12.95"/>
  <cols>
    <col min="1" max="1" width="4" style="39" customWidth="1"/>
    <col min="2" max="2" width="25.28515625" style="39" bestFit="1" customWidth="1"/>
    <col min="3" max="5" width="11.42578125" style="39"/>
    <col min="6" max="6" width="1.28515625" style="39" hidden="1" customWidth="1"/>
    <col min="7" max="16384" width="11.42578125" style="39"/>
  </cols>
  <sheetData>
    <row r="1" spans="1:14" ht="15" customHeight="1">
      <c r="A1" s="38" t="s">
        <v>109</v>
      </c>
    </row>
    <row r="3" spans="1:14" ht="13.5" thickBot="1">
      <c r="B3" s="3" t="s">
        <v>1</v>
      </c>
      <c r="C3" s="421" t="s">
        <v>110</v>
      </c>
      <c r="D3" s="421" t="s">
        <v>111</v>
      </c>
      <c r="E3" s="421" t="s">
        <v>51</v>
      </c>
      <c r="F3" s="6"/>
      <c r="G3" s="421" t="s">
        <v>112</v>
      </c>
    </row>
    <row r="4" spans="1:14" ht="15" customHeight="1">
      <c r="B4" s="4" t="s">
        <v>11</v>
      </c>
      <c r="C4" s="298">
        <f>+Resultado!F5</f>
        <v>130883929</v>
      </c>
      <c r="D4" s="298">
        <f>+Resultado!G5</f>
        <v>120404559</v>
      </c>
      <c r="E4" s="8">
        <f>+ROUND(G4/D4,3)</f>
        <v>8.6999999999999994E-2</v>
      </c>
      <c r="F4" s="6"/>
      <c r="G4" s="7">
        <f>+C4-D4</f>
        <v>10479370</v>
      </c>
    </row>
    <row r="5" spans="1:14" s="40" customFormat="1" ht="15" customHeight="1">
      <c r="B5" s="4" t="s">
        <v>13</v>
      </c>
      <c r="C5" s="298">
        <f>+Resultado!F6+Resultado!F7+Resultado!F10</f>
        <v>-66601168</v>
      </c>
      <c r="D5" s="298">
        <f>+Resultado!G6+Resultado!G7+Resultado!G10</f>
        <v>-63049965</v>
      </c>
      <c r="E5" s="8">
        <f t="shared" ref="E5:E15" si="0">+ROUND(G5/D5,3)</f>
        <v>5.6000000000000001E-2</v>
      </c>
      <c r="F5" s="6"/>
      <c r="G5" s="7">
        <f t="shared" ref="G5:G15" si="1">+C5-D5</f>
        <v>-3551203</v>
      </c>
    </row>
    <row r="6" spans="1:14" s="40" customFormat="1" ht="15" customHeight="1">
      <c r="B6" s="5" t="s">
        <v>15</v>
      </c>
      <c r="C6" s="422">
        <f>SUM(C4:C5)</f>
        <v>64282761</v>
      </c>
      <c r="D6" s="422">
        <f>SUM(D4:D5)</f>
        <v>57354594</v>
      </c>
      <c r="E6" s="10">
        <f>+ROUND(G6/D6,3)</f>
        <v>0.121</v>
      </c>
      <c r="F6" s="11"/>
      <c r="G6" s="9">
        <f>+C6-D6</f>
        <v>6928167</v>
      </c>
    </row>
    <row r="7" spans="1:14" s="40" customFormat="1" ht="15" customHeight="1">
      <c r="B7" s="4" t="s">
        <v>16</v>
      </c>
      <c r="C7" s="298">
        <f>+Resultado!F8</f>
        <v>-18978198</v>
      </c>
      <c r="D7" s="298">
        <f>+Resultado!G8</f>
        <v>-17109521</v>
      </c>
      <c r="E7" s="8">
        <f t="shared" si="0"/>
        <v>0.109</v>
      </c>
      <c r="F7" s="6"/>
      <c r="G7" s="7">
        <f t="shared" si="1"/>
        <v>-1868677</v>
      </c>
      <c r="L7" s="26"/>
      <c r="M7" s="26"/>
      <c r="N7" s="41"/>
    </row>
    <row r="8" spans="1:14" s="40" customFormat="1" ht="15" customHeight="1">
      <c r="B8" s="5" t="s">
        <v>18</v>
      </c>
      <c r="C8" s="422">
        <f>+C6+C7</f>
        <v>45304563</v>
      </c>
      <c r="D8" s="422">
        <f>+D6+D7</f>
        <v>40245073</v>
      </c>
      <c r="E8" s="10">
        <f t="shared" si="0"/>
        <v>0.126</v>
      </c>
      <c r="F8" s="11"/>
      <c r="G8" s="9">
        <f t="shared" si="1"/>
        <v>5059490</v>
      </c>
    </row>
    <row r="9" spans="1:14" s="40" customFormat="1" ht="15" customHeight="1">
      <c r="B9" s="4" t="s">
        <v>113</v>
      </c>
      <c r="C9" s="298">
        <f>+Resultado!F11</f>
        <v>-954770</v>
      </c>
      <c r="D9" s="298">
        <f>+Resultado!G11</f>
        <v>-1003791</v>
      </c>
      <c r="E9" s="8">
        <f t="shared" si="0"/>
        <v>-4.9000000000000002E-2</v>
      </c>
      <c r="F9" s="57"/>
      <c r="G9" s="7">
        <f t="shared" si="1"/>
        <v>49021</v>
      </c>
    </row>
    <row r="10" spans="1:14" s="40" customFormat="1" ht="15" hidden="1" customHeight="1">
      <c r="B10" s="4" t="s">
        <v>106</v>
      </c>
      <c r="C10" s="298">
        <f>+[2]Resultado!D9</f>
        <v>0</v>
      </c>
      <c r="D10" s="298">
        <f>+[2]Resultado!E9</f>
        <v>0</v>
      </c>
      <c r="E10" s="8" t="e">
        <f t="shared" si="0"/>
        <v>#DIV/0!</v>
      </c>
      <c r="F10" s="57"/>
      <c r="G10" s="7">
        <f t="shared" si="1"/>
        <v>0</v>
      </c>
    </row>
    <row r="11" spans="1:14" s="40" customFormat="1" ht="15" customHeight="1">
      <c r="B11" s="4" t="s">
        <v>24</v>
      </c>
      <c r="C11" s="298">
        <f>+Resultado!F13+Resultado!F14+Resultado!F15+Resultado!F16</f>
        <v>-43420054</v>
      </c>
      <c r="D11" s="298">
        <f>+Resultado!G13+Resultado!G14+Resultado!G15+Resultado!G16</f>
        <v>-14834616</v>
      </c>
      <c r="E11" s="8">
        <f t="shared" si="0"/>
        <v>1.927</v>
      </c>
      <c r="F11" s="6"/>
      <c r="G11" s="7">
        <f t="shared" si="1"/>
        <v>-28585438</v>
      </c>
    </row>
    <row r="12" spans="1:14" s="40" customFormat="1" ht="15" customHeight="1">
      <c r="B12" s="4" t="s">
        <v>26</v>
      </c>
      <c r="C12" s="298">
        <f>+Resultado!F19</f>
        <v>8759753</v>
      </c>
      <c r="D12" s="298">
        <f>+Resultado!G19</f>
        <v>-4656780</v>
      </c>
      <c r="E12" s="8">
        <f t="shared" si="0"/>
        <v>-2.8809999999999998</v>
      </c>
      <c r="F12" s="6"/>
      <c r="G12" s="7">
        <f t="shared" si="1"/>
        <v>13416533</v>
      </c>
    </row>
    <row r="13" spans="1:14" s="40" customFormat="1" ht="15" hidden="1" customHeight="1">
      <c r="B13" s="4" t="s">
        <v>28</v>
      </c>
      <c r="C13" s="298">
        <v>0</v>
      </c>
      <c r="D13" s="298">
        <v>0</v>
      </c>
      <c r="E13" s="8" t="e">
        <f t="shared" si="0"/>
        <v>#DIV/0!</v>
      </c>
      <c r="F13" s="6"/>
      <c r="G13" s="7">
        <f t="shared" si="1"/>
        <v>0</v>
      </c>
    </row>
    <row r="14" spans="1:14" s="40" customFormat="1" ht="15" customHeight="1">
      <c r="B14" s="32" t="s">
        <v>30</v>
      </c>
      <c r="C14" s="298">
        <f>-Resultado!F26</f>
        <v>-4965438</v>
      </c>
      <c r="D14" s="298">
        <f>-Resultado!G26</f>
        <v>-9955141</v>
      </c>
      <c r="E14" s="8">
        <f t="shared" si="0"/>
        <v>-0.501</v>
      </c>
      <c r="F14" s="6"/>
      <c r="G14" s="7">
        <f t="shared" si="1"/>
        <v>4989703</v>
      </c>
    </row>
    <row r="15" spans="1:14" s="40" customFormat="1" ht="15" customHeight="1">
      <c r="B15" s="5" t="s">
        <v>31</v>
      </c>
      <c r="C15" s="299">
        <f>+Resultado!F25</f>
        <v>4724054</v>
      </c>
      <c r="D15" s="299">
        <f>+Resultado!G25</f>
        <v>9794745</v>
      </c>
      <c r="E15" s="10">
        <f t="shared" si="0"/>
        <v>-0.51800000000000002</v>
      </c>
      <c r="F15" s="11"/>
      <c r="G15" s="9">
        <f t="shared" si="1"/>
        <v>-5070691</v>
      </c>
    </row>
    <row r="16" spans="1:14" s="40" customFormat="1" ht="15" customHeight="1">
      <c r="C16" s="37">
        <f>SUM(C8:C14)</f>
        <v>4724054</v>
      </c>
      <c r="D16" s="37">
        <f>SUM(D8:D14)</f>
        <v>9794745</v>
      </c>
    </row>
    <row r="17" spans="3:3" s="40" customFormat="1" ht="15" customHeight="1">
      <c r="C17" s="423">
        <f>+C16-C15</f>
        <v>0</v>
      </c>
    </row>
    <row r="18" spans="3:3" s="40" customFormat="1" ht="15" customHeight="1"/>
    <row r="19" spans="3:3" s="40" customFormat="1" ht="15" customHeight="1"/>
    <row r="20" spans="3:3" s="40" customFormat="1" ht="15" customHeight="1"/>
    <row r="21" spans="3:3" s="40" customFormat="1" ht="15" customHeight="1"/>
    <row r="22" spans="3:3" s="40" customFormat="1" ht="15" customHeight="1"/>
    <row r="23" spans="3:3" s="40" customFormat="1" ht="15" customHeight="1"/>
    <row r="24" spans="3:3" s="40" customFormat="1" ht="15" customHeight="1"/>
    <row r="25" spans="3:3" s="40" customFormat="1" ht="15" customHeight="1"/>
    <row r="26" spans="3:3" s="40" customFormat="1" ht="15" customHeight="1"/>
    <row r="27" spans="3:3" s="40" customFormat="1" ht="15" customHeight="1"/>
    <row r="28" spans="3:3" s="40" customFormat="1" ht="15" customHeight="1"/>
    <row r="29" spans="3:3" s="40" customFormat="1" ht="15" customHeight="1"/>
    <row r="40" ht="15" customHeight="1"/>
  </sheetData>
  <pageMargins left="0.7" right="0.7" top="0.75" bottom="0.75" header="0.3" footer="0.3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B3:G29"/>
  <sheetViews>
    <sheetView showGridLines="0" topLeftCell="A13" workbookViewId="0">
      <selection activeCell="E26" sqref="E26"/>
    </sheetView>
  </sheetViews>
  <sheetFormatPr defaultColWidth="11.42578125" defaultRowHeight="15" customHeight="1"/>
  <cols>
    <col min="1" max="1" width="3.85546875" style="6" customWidth="1"/>
    <col min="2" max="2" width="68.140625" style="6" bestFit="1" customWidth="1"/>
    <col min="3" max="4" width="13.7109375" style="6" customWidth="1"/>
    <col min="5" max="5" width="9.28515625" style="6" customWidth="1"/>
    <col min="6" max="7" width="11.42578125" style="6" customWidth="1"/>
    <col min="8" max="16384" width="11.42578125" style="6"/>
  </cols>
  <sheetData>
    <row r="3" spans="2:7" ht="15" customHeight="1" thickBot="1">
      <c r="C3" s="421" t="str">
        <f>+Resultados!C3</f>
        <v xml:space="preserve">         Jun.22</v>
      </c>
      <c r="D3" s="421" t="s">
        <v>114</v>
      </c>
      <c r="E3" s="472" t="s">
        <v>51</v>
      </c>
    </row>
    <row r="4" spans="2:7" ht="15" customHeight="1" thickBot="1">
      <c r="B4" s="433"/>
      <c r="C4" s="421" t="s">
        <v>115</v>
      </c>
      <c r="D4" s="421" t="s">
        <v>115</v>
      </c>
      <c r="E4" s="485"/>
    </row>
    <row r="5" spans="2:7" ht="15" customHeight="1">
      <c r="B5" s="428" t="s">
        <v>116</v>
      </c>
    </row>
    <row r="6" spans="2:7" ht="12.75" customHeight="1">
      <c r="B6" s="4" t="s">
        <v>117</v>
      </c>
      <c r="C6" s="319">
        <f>ROUND(Balance!D15,0)</f>
        <v>273652598</v>
      </c>
      <c r="D6" s="319">
        <f>ROUND(Balance!E15,0)</f>
        <v>285099777</v>
      </c>
      <c r="E6" s="8">
        <f>ROUND((C6/D6)-1,3)</f>
        <v>-0.04</v>
      </c>
      <c r="G6" s="27">
        <f>+C6-D6</f>
        <v>-11447179</v>
      </c>
    </row>
    <row r="7" spans="2:7" ht="12.75" customHeight="1">
      <c r="B7" s="4" t="s">
        <v>118</v>
      </c>
      <c r="C7" s="319">
        <f>ROUND(Balance!D26,0)</f>
        <v>2250015038</v>
      </c>
      <c r="D7" s="319">
        <f>ROUND(Balance!E26,0)</f>
        <v>2216722469</v>
      </c>
      <c r="E7" s="8">
        <f>ROUND((C7/D7)-1,3)</f>
        <v>1.4999999999999999E-2</v>
      </c>
      <c r="G7" s="27">
        <f t="shared" ref="G7:G17" si="0">+C7-D7</f>
        <v>33292569</v>
      </c>
    </row>
    <row r="8" spans="2:7" ht="12.75" customHeight="1">
      <c r="B8" s="5" t="s">
        <v>119</v>
      </c>
      <c r="C8" s="320">
        <f>SUM(C6:C7)</f>
        <v>2523667636</v>
      </c>
      <c r="D8" s="320">
        <f>SUM(D6:D7)</f>
        <v>2501822246</v>
      </c>
      <c r="E8" s="10">
        <f>ROUND((C8/D8)-1,3)</f>
        <v>8.9999999999999993E-3</v>
      </c>
      <c r="G8" s="27">
        <f t="shared" si="0"/>
        <v>21845390</v>
      </c>
    </row>
    <row r="9" spans="2:7" ht="12.75" customHeight="1">
      <c r="B9" s="429" t="s">
        <v>120</v>
      </c>
      <c r="C9" s="321"/>
      <c r="D9" s="321"/>
      <c r="E9" s="42"/>
      <c r="G9" s="27">
        <f t="shared" si="0"/>
        <v>0</v>
      </c>
    </row>
    <row r="10" spans="2:7" ht="12.75" customHeight="1">
      <c r="B10" s="4" t="s">
        <v>121</v>
      </c>
      <c r="C10" s="319">
        <f>ROUND(+Balance!D42,0)</f>
        <v>236874034</v>
      </c>
      <c r="D10" s="319">
        <f>ROUND(+Balance!E42,0)</f>
        <v>249136828</v>
      </c>
      <c r="E10" s="8">
        <f>ROUND((C10/D10)-1,3)</f>
        <v>-4.9000000000000002E-2</v>
      </c>
      <c r="G10" s="27">
        <f t="shared" si="0"/>
        <v>-12262794</v>
      </c>
    </row>
    <row r="11" spans="2:7" ht="12.75" customHeight="1">
      <c r="B11" s="4" t="s">
        <v>122</v>
      </c>
      <c r="C11" s="319">
        <f>ROUND(+Balance!D54,0)</f>
        <v>1171105128</v>
      </c>
      <c r="D11" s="319">
        <f>ROUND(+Balance!E54,0)</f>
        <v>1138295178</v>
      </c>
      <c r="E11" s="8">
        <f>ROUND((C11/D11)-1,3)</f>
        <v>2.9000000000000001E-2</v>
      </c>
      <c r="G11" s="27">
        <f t="shared" si="0"/>
        <v>32809950</v>
      </c>
    </row>
    <row r="12" spans="2:7" ht="12.75" customHeight="1">
      <c r="B12" s="5" t="s">
        <v>123</v>
      </c>
      <c r="C12" s="320">
        <f>SUM(C10:C11)</f>
        <v>1407979162</v>
      </c>
      <c r="D12" s="320">
        <f>SUM(D10:D11)</f>
        <v>1387432006</v>
      </c>
      <c r="E12" s="10">
        <f>ROUND((C12/D12)-1,3)</f>
        <v>1.4999999999999999E-2</v>
      </c>
      <c r="G12" s="27">
        <f t="shared" si="0"/>
        <v>20547156</v>
      </c>
    </row>
    <row r="13" spans="2:7" ht="12.75" customHeight="1">
      <c r="C13" s="321"/>
      <c r="D13" s="321"/>
      <c r="E13" s="42"/>
      <c r="G13" s="27">
        <f t="shared" si="0"/>
        <v>0</v>
      </c>
    </row>
    <row r="14" spans="2:7" ht="12.75" customHeight="1">
      <c r="B14" s="4" t="s">
        <v>124</v>
      </c>
      <c r="C14" s="319">
        <f>ROUND(+Balance!D63,0)</f>
        <v>694885258</v>
      </c>
      <c r="D14" s="319">
        <f>ROUND(+Balance!E63,0)</f>
        <v>693964870</v>
      </c>
      <c r="E14" s="8">
        <f>ROUND((C14/D14)-1,3)</f>
        <v>1E-3</v>
      </c>
      <c r="G14" s="27">
        <f t="shared" si="0"/>
        <v>920388</v>
      </c>
    </row>
    <row r="15" spans="2:7" ht="12.75" customHeight="1">
      <c r="B15" s="4" t="s">
        <v>125</v>
      </c>
      <c r="C15" s="319">
        <f>ROUND(+Balance!D64,0)</f>
        <v>420803216</v>
      </c>
      <c r="D15" s="319">
        <f>ROUND(+Balance!E64,0)</f>
        <v>420425370</v>
      </c>
      <c r="E15" s="8">
        <f>ROUND((C15/D15)-1,3)</f>
        <v>1E-3</v>
      </c>
      <c r="G15" s="27">
        <f t="shared" si="0"/>
        <v>377846</v>
      </c>
    </row>
    <row r="16" spans="2:7" ht="12.75" customHeight="1">
      <c r="B16" s="5" t="s">
        <v>126</v>
      </c>
      <c r="C16" s="320">
        <f>+C15+C14</f>
        <v>1115688474</v>
      </c>
      <c r="D16" s="320">
        <f>+D15+D14</f>
        <v>1114390240</v>
      </c>
      <c r="E16" s="10">
        <f t="shared" ref="E16:E17" si="1">ROUND((C16/D16)-1,3)</f>
        <v>1E-3</v>
      </c>
      <c r="G16" s="27">
        <f t="shared" si="0"/>
        <v>1298234</v>
      </c>
    </row>
    <row r="17" spans="2:7" ht="12.75" customHeight="1">
      <c r="B17" s="5" t="s">
        <v>127</v>
      </c>
      <c r="C17" s="320">
        <f>+C16+C12</f>
        <v>2523667636</v>
      </c>
      <c r="D17" s="320">
        <f>+D16+D12</f>
        <v>2501822246</v>
      </c>
      <c r="E17" s="10">
        <f t="shared" si="1"/>
        <v>8.9999999999999993E-3</v>
      </c>
      <c r="G17" s="27">
        <f t="shared" si="0"/>
        <v>21845390</v>
      </c>
    </row>
    <row r="19" spans="2:7" ht="15" customHeight="1">
      <c r="C19" s="307">
        <f>+C8-C17</f>
        <v>0</v>
      </c>
      <c r="D19" s="307">
        <f>+D8-D17</f>
        <v>0</v>
      </c>
    </row>
    <row r="22" spans="2:7" ht="15" customHeight="1" thickBot="1">
      <c r="B22" s="3" t="s">
        <v>128</v>
      </c>
      <c r="C22" s="421" t="str">
        <f>+C3</f>
        <v xml:space="preserve">         Jun.22</v>
      </c>
    </row>
    <row r="23" spans="2:7" ht="15" customHeight="1">
      <c r="B23" s="32" t="s">
        <v>129</v>
      </c>
      <c r="C23" s="19">
        <v>5861043</v>
      </c>
    </row>
    <row r="24" spans="2:7" ht="15" customHeight="1">
      <c r="B24" s="4" t="s">
        <v>130</v>
      </c>
      <c r="C24" s="19">
        <v>3219429</v>
      </c>
    </row>
    <row r="25" spans="2:7" ht="15" customHeight="1">
      <c r="B25" s="4" t="s">
        <v>131</v>
      </c>
      <c r="C25" s="19">
        <v>2287373</v>
      </c>
    </row>
    <row r="26" spans="2:7" ht="15" customHeight="1">
      <c r="B26" s="32" t="s">
        <v>132</v>
      </c>
      <c r="C26" s="19">
        <v>1561936</v>
      </c>
    </row>
    <row r="27" spans="2:7" ht="15" customHeight="1">
      <c r="B27" s="4" t="s">
        <v>133</v>
      </c>
      <c r="C27" s="19">
        <v>1295603</v>
      </c>
    </row>
    <row r="28" spans="2:7" ht="15" customHeight="1">
      <c r="B28" s="32" t="s">
        <v>134</v>
      </c>
      <c r="C28" s="19">
        <v>1173912</v>
      </c>
    </row>
    <row r="29" spans="2:7" ht="15" customHeight="1">
      <c r="B29" s="32" t="s">
        <v>135</v>
      </c>
      <c r="C29" s="19">
        <v>1021239</v>
      </c>
    </row>
  </sheetData>
  <mergeCells count="1">
    <mergeCell ref="E3:E4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K49"/>
  <sheetViews>
    <sheetView showGridLines="0" workbookViewId="0">
      <selection activeCell="J12" sqref="J12"/>
    </sheetView>
  </sheetViews>
  <sheetFormatPr defaultColWidth="11.42578125" defaultRowHeight="15" customHeight="1"/>
  <cols>
    <col min="1" max="1" width="26.7109375" style="6" customWidth="1"/>
    <col min="2" max="2" width="24.7109375" style="6" bestFit="1" customWidth="1"/>
    <col min="3" max="3" width="11.42578125" style="6"/>
    <col min="4" max="4" width="12.28515625" style="6" bestFit="1" customWidth="1"/>
    <col min="5" max="5" width="9.7109375" style="6" customWidth="1"/>
    <col min="6" max="6" width="9.42578125" style="6" customWidth="1"/>
    <col min="7" max="7" width="9.7109375" style="6" customWidth="1"/>
    <col min="8" max="8" width="10.85546875" style="6" customWidth="1"/>
    <col min="9" max="9" width="12" style="6" bestFit="1" customWidth="1"/>
    <col min="10" max="10" width="14.5703125" style="6" customWidth="1"/>
    <col min="11" max="11" width="11.42578125" style="6" customWidth="1"/>
    <col min="12" max="12" width="30.140625" style="6" bestFit="1" customWidth="1"/>
    <col min="13" max="16384" width="11.42578125" style="6"/>
  </cols>
  <sheetData>
    <row r="1" spans="2:11" ht="15" customHeight="1">
      <c r="E1" s="43"/>
      <c r="F1" s="43"/>
      <c r="G1" s="43"/>
      <c r="H1" s="43"/>
    </row>
    <row r="2" spans="2:11" ht="18.75" customHeight="1" thickBot="1">
      <c r="B2" s="430" t="s">
        <v>136</v>
      </c>
      <c r="C2" s="503" t="s">
        <v>137</v>
      </c>
      <c r="D2" s="503" t="s">
        <v>138</v>
      </c>
      <c r="E2" s="435" t="s">
        <v>139</v>
      </c>
      <c r="F2" s="435" t="s">
        <v>140</v>
      </c>
      <c r="G2" s="435" t="s">
        <v>141</v>
      </c>
      <c r="H2" s="435" t="s">
        <v>142</v>
      </c>
      <c r="J2" s="342" t="s">
        <v>143</v>
      </c>
      <c r="K2" s="343" t="s">
        <v>144</v>
      </c>
    </row>
    <row r="3" spans="2:11" ht="15" customHeight="1">
      <c r="B3" s="431" t="s">
        <v>145</v>
      </c>
      <c r="C3" s="44" t="s">
        <v>146</v>
      </c>
      <c r="D3" s="262">
        <f>SUM(E3:H3)</f>
        <v>198729817</v>
      </c>
      <c r="E3" s="19">
        <v>29281344</v>
      </c>
      <c r="F3" s="19">
        <v>45819532</v>
      </c>
      <c r="G3" s="19">
        <v>33162307</v>
      </c>
      <c r="H3" s="19">
        <v>90466634</v>
      </c>
      <c r="J3" s="301">
        <f>+'[3]Clases Inst. Finan.'!$E$25+'[3]Clases Inst. Finan.'!$E$42</f>
        <v>199086936</v>
      </c>
      <c r="K3" s="344">
        <f>+D3-J3</f>
        <v>-357119</v>
      </c>
    </row>
    <row r="4" spans="2:11" ht="15" customHeight="1">
      <c r="B4" s="432" t="s">
        <v>147</v>
      </c>
      <c r="C4" s="44" t="s">
        <v>146</v>
      </c>
      <c r="D4" s="262">
        <f t="shared" ref="D4:D6" si="0">SUM(E4:H4)</f>
        <v>752916439</v>
      </c>
      <c r="E4" s="19">
        <v>27092915</v>
      </c>
      <c r="F4" s="19">
        <v>24775748</v>
      </c>
      <c r="G4" s="57" t="s">
        <v>148</v>
      </c>
      <c r="H4" s="19">
        <v>701047776</v>
      </c>
      <c r="J4" s="301">
        <f>+'[3]Clases Inst. Finan.'!$E$24+'[3]Clases Inst. Finan.'!$E$41</f>
        <v>724208589</v>
      </c>
      <c r="K4" s="344">
        <f>+D4-J4</f>
        <v>28707850</v>
      </c>
    </row>
    <row r="5" spans="2:11" ht="15" customHeight="1">
      <c r="B5" s="432" t="s">
        <v>149</v>
      </c>
      <c r="C5" s="326" t="s">
        <v>146</v>
      </c>
      <c r="D5" s="327">
        <f t="shared" si="0"/>
        <v>235631169</v>
      </c>
      <c r="E5" s="19">
        <v>10941917</v>
      </c>
      <c r="F5" s="19">
        <v>122985084</v>
      </c>
      <c r="G5" s="19">
        <v>101704168</v>
      </c>
      <c r="H5" s="263">
        <v>0</v>
      </c>
      <c r="J5" s="301">
        <f>+'[3]Clases Inst. Finan.'!$E$23+'[3]Clases Inst. Finan.'!$E$40</f>
        <v>240072281</v>
      </c>
      <c r="K5" s="344">
        <f>+D5-J5</f>
        <v>-4441112</v>
      </c>
    </row>
    <row r="6" spans="2:11" ht="15" hidden="1" customHeight="1">
      <c r="B6" s="433" t="s">
        <v>150</v>
      </c>
      <c r="C6" s="326" t="s">
        <v>151</v>
      </c>
      <c r="D6" s="327">
        <f t="shared" si="0"/>
        <v>0</v>
      </c>
      <c r="E6" s="328">
        <v>0</v>
      </c>
      <c r="F6" s="328">
        <v>0</v>
      </c>
      <c r="G6" s="328">
        <v>0</v>
      </c>
      <c r="H6" s="328">
        <v>0</v>
      </c>
      <c r="J6" s="301">
        <v>0</v>
      </c>
      <c r="K6" s="344">
        <f>+D6-J6</f>
        <v>0</v>
      </c>
    </row>
    <row r="7" spans="2:11" ht="15" customHeight="1">
      <c r="B7" s="5" t="s">
        <v>152</v>
      </c>
      <c r="C7" s="345"/>
      <c r="D7" s="346">
        <f>SUM(D3:D6)</f>
        <v>1187277425</v>
      </c>
      <c r="E7" s="346">
        <f t="shared" ref="E7:H7" si="1">SUM(E3:E6)</f>
        <v>67316176</v>
      </c>
      <c r="F7" s="346">
        <f t="shared" si="1"/>
        <v>193580364</v>
      </c>
      <c r="G7" s="346">
        <f t="shared" si="1"/>
        <v>134866475</v>
      </c>
      <c r="H7" s="346">
        <f t="shared" si="1"/>
        <v>791514410</v>
      </c>
      <c r="J7" s="301"/>
      <c r="K7" s="344"/>
    </row>
    <row r="8" spans="2:11" ht="15" customHeight="1">
      <c r="B8" s="325" t="s">
        <v>153</v>
      </c>
      <c r="C8" s="326" t="s">
        <v>146</v>
      </c>
      <c r="D8" s="327">
        <f t="shared" ref="D8" si="2">SUM(E8:H8)</f>
        <v>2315993</v>
      </c>
      <c r="E8" s="327">
        <f>+'[4]Perfil Vencimiento'!$C$8+'[4]Perfil Vencimiento'!$E$8</f>
        <v>890119</v>
      </c>
      <c r="F8" s="327">
        <f>+'[4]Perfil Vencimiento'!$G$8</f>
        <v>723285</v>
      </c>
      <c r="G8" s="327">
        <f>+'[4]Perfil Vencimiento'!$I$8</f>
        <v>447484</v>
      </c>
      <c r="H8" s="327">
        <f>+'[4]Perfil Vencimiento'!$K$8</f>
        <v>255105</v>
      </c>
      <c r="J8" s="301">
        <f>+'[3]Clases Inst. Finan.'!$E$28+'[3]Clases Inst. Finan.'!$E$44</f>
        <v>2607332</v>
      </c>
      <c r="K8" s="344">
        <f>+D8-J8</f>
        <v>-291339</v>
      </c>
    </row>
    <row r="9" spans="2:11" ht="15" customHeight="1" thickBot="1">
      <c r="B9" s="5" t="s">
        <v>154</v>
      </c>
      <c r="C9" s="504"/>
      <c r="D9" s="505">
        <f>+D8</f>
        <v>2315993</v>
      </c>
      <c r="E9" s="505">
        <f t="shared" ref="E9:H9" si="3">+E8</f>
        <v>890119</v>
      </c>
      <c r="F9" s="505">
        <f t="shared" si="3"/>
        <v>723285</v>
      </c>
      <c r="G9" s="505">
        <f t="shared" si="3"/>
        <v>447484</v>
      </c>
      <c r="H9" s="505">
        <f t="shared" si="3"/>
        <v>255105</v>
      </c>
      <c r="J9" s="301"/>
      <c r="K9" s="302"/>
    </row>
    <row r="10" spans="2:11" ht="15" customHeight="1">
      <c r="B10" s="434" t="s">
        <v>48</v>
      </c>
      <c r="C10" s="13"/>
      <c r="D10" s="262">
        <f>+D7+D9</f>
        <v>1189593418</v>
      </c>
      <c r="E10" s="262">
        <f t="shared" ref="E10:H10" si="4">+E7+E9</f>
        <v>68206295</v>
      </c>
      <c r="F10" s="262">
        <f t="shared" si="4"/>
        <v>194303649</v>
      </c>
      <c r="G10" s="262">
        <f t="shared" si="4"/>
        <v>135313959</v>
      </c>
      <c r="H10" s="262">
        <f t="shared" si="4"/>
        <v>791769515</v>
      </c>
      <c r="J10" s="24"/>
    </row>
    <row r="11" spans="2:11" ht="15" customHeight="1">
      <c r="D11" s="424"/>
    </row>
    <row r="12" spans="2:11" ht="15" customHeight="1">
      <c r="B12" s="6" t="s">
        <v>155</v>
      </c>
      <c r="D12" s="24"/>
      <c r="E12" s="24"/>
      <c r="F12" s="6" t="s">
        <v>156</v>
      </c>
      <c r="G12" s="24"/>
      <c r="H12" s="24"/>
    </row>
    <row r="13" spans="2:11" ht="15" customHeight="1">
      <c r="B13" s="46" t="str">
        <f>+B3</f>
        <v>AFRs</v>
      </c>
      <c r="C13" s="378">
        <f>ROUND(D13/$D$10,3)</f>
        <v>0.16700000000000001</v>
      </c>
      <c r="D13" s="47">
        <f>+D3</f>
        <v>198729817</v>
      </c>
      <c r="E13" s="46"/>
      <c r="F13" s="46" t="s">
        <v>157</v>
      </c>
      <c r="G13" s="378">
        <f>ROUND(H13/$D$10,3)</f>
        <v>0.89</v>
      </c>
      <c r="H13" s="47">
        <f>+B35+B36+B37+B38</f>
        <v>1059105816</v>
      </c>
    </row>
    <row r="14" spans="2:11" ht="15" customHeight="1">
      <c r="B14" s="46" t="str">
        <f>+B4</f>
        <v>Bonds</v>
      </c>
      <c r="C14" s="378">
        <f>ROUND(D14/$D$10,3)</f>
        <v>0.63300000000000001</v>
      </c>
      <c r="D14" s="47">
        <f>+D4</f>
        <v>752916439</v>
      </c>
      <c r="E14" s="46"/>
      <c r="F14" s="46" t="s">
        <v>158</v>
      </c>
      <c r="G14" s="378">
        <f>ROUND(H14/$D$10,3)</f>
        <v>0.113</v>
      </c>
      <c r="H14" s="47">
        <f>+B34</f>
        <v>134928714</v>
      </c>
    </row>
    <row r="15" spans="2:11" ht="15" customHeight="1">
      <c r="B15" s="46" t="s">
        <v>159</v>
      </c>
      <c r="C15" s="378">
        <f>ROUND(D15/$D$10,3)</f>
        <v>0.19800000000000001</v>
      </c>
      <c r="D15" s="47">
        <f>+D5</f>
        <v>235631169</v>
      </c>
      <c r="E15" s="46"/>
      <c r="F15" s="46"/>
      <c r="G15" s="398">
        <f>+G13+G14</f>
        <v>1.0030000000000001</v>
      </c>
      <c r="H15" s="47"/>
    </row>
    <row r="16" spans="2:11" ht="15" customHeight="1">
      <c r="B16" s="46" t="str">
        <f>+B8</f>
        <v>Leasing liabilities</v>
      </c>
      <c r="C16" s="378">
        <f>ROUND(D16/$D$10,3)</f>
        <v>2E-3</v>
      </c>
      <c r="D16" s="47">
        <f>+D8</f>
        <v>2315993</v>
      </c>
      <c r="G16" s="49"/>
    </row>
    <row r="17" spans="2:8" ht="15" customHeight="1">
      <c r="B17" s="46"/>
      <c r="C17" s="48">
        <f>SUM(C13:C16)</f>
        <v>1</v>
      </c>
      <c r="D17" s="47"/>
      <c r="G17" s="49"/>
    </row>
    <row r="18" spans="2:8" ht="15" customHeight="1">
      <c r="D18" s="45"/>
      <c r="G18" s="50"/>
    </row>
    <row r="19" spans="2:8" ht="15" customHeight="1">
      <c r="C19" s="49"/>
      <c r="D19" s="24"/>
      <c r="E19" s="24"/>
      <c r="F19" s="24"/>
      <c r="G19" s="24"/>
      <c r="H19" s="24"/>
    </row>
    <row r="20" spans="2:8" ht="15" customHeight="1">
      <c r="C20" s="50"/>
      <c r="D20" s="24"/>
      <c r="E20" s="24"/>
      <c r="F20" s="24"/>
      <c r="G20" s="24"/>
      <c r="H20" s="24"/>
    </row>
    <row r="21" spans="2:8" ht="15" customHeight="1">
      <c r="D21" s="24"/>
    </row>
    <row r="22" spans="2:8" ht="15" customHeight="1">
      <c r="D22" s="24"/>
    </row>
    <row r="34" spans="1:9" ht="15" customHeight="1">
      <c r="A34" s="117" t="s">
        <v>160</v>
      </c>
      <c r="B34" s="305">
        <f>+'[3]Tasa de interes'!$C$11</f>
        <v>134928714</v>
      </c>
      <c r="C34" s="399">
        <f>+ROUND(B34/$B$39,3)</f>
        <v>0.113</v>
      </c>
      <c r="D34" s="307">
        <f>+B34+B35-D5</f>
        <v>4441112</v>
      </c>
    </row>
    <row r="35" spans="1:9" ht="15" customHeight="1">
      <c r="A35" s="117" t="s">
        <v>161</v>
      </c>
      <c r="B35" s="305">
        <f>+'[3]Tasa de interes'!$C$12</f>
        <v>105143567</v>
      </c>
      <c r="C35" s="399">
        <f>+ROUND(B35/$B$39,3)</f>
        <v>8.7999999999999995E-2</v>
      </c>
    </row>
    <row r="36" spans="1:9" ht="15" customHeight="1">
      <c r="A36" s="117" t="s">
        <v>162</v>
      </c>
      <c r="B36" s="305">
        <f>+D4</f>
        <v>752916439</v>
      </c>
      <c r="C36" s="399">
        <f>+ROUND(B36/$B$39,3)</f>
        <v>0.63100000000000001</v>
      </c>
    </row>
    <row r="37" spans="1:9" ht="15" customHeight="1">
      <c r="A37" s="117" t="s">
        <v>163</v>
      </c>
      <c r="B37" s="305">
        <f>+D3</f>
        <v>198729817</v>
      </c>
      <c r="C37" s="399">
        <f>+ROUND(B37/$B$39,3)</f>
        <v>0.16600000000000001</v>
      </c>
      <c r="I37" s="350"/>
    </row>
    <row r="38" spans="1:9" ht="15" customHeight="1">
      <c r="A38" s="117" t="s">
        <v>164</v>
      </c>
      <c r="B38" s="305">
        <f>+D8</f>
        <v>2315993</v>
      </c>
      <c r="C38" s="399">
        <f>+ROUND(B38/$B$39,3)</f>
        <v>2E-3</v>
      </c>
    </row>
    <row r="39" spans="1:9" ht="15" customHeight="1">
      <c r="A39" s="116" t="s">
        <v>165</v>
      </c>
      <c r="B39" s="306">
        <f>+SUM(B34:B38)</f>
        <v>1194034530</v>
      </c>
      <c r="C39" s="400">
        <f>+SUM(C34:C38)</f>
        <v>1</v>
      </c>
      <c r="D39" s="307">
        <f>+B39-D10</f>
        <v>4441112</v>
      </c>
    </row>
    <row r="40" spans="1:9" ht="15" customHeight="1">
      <c r="A40" s="117"/>
    </row>
    <row r="41" spans="1:9" ht="15" customHeight="1">
      <c r="A41" s="303" t="s">
        <v>166</v>
      </c>
      <c r="B41" s="303"/>
      <c r="C41" s="303"/>
    </row>
    <row r="42" spans="1:9" ht="15" customHeight="1">
      <c r="A42" s="117" t="s">
        <v>157</v>
      </c>
      <c r="B42" s="117"/>
      <c r="C42" s="323">
        <f>+ROUND((C36+C37+C38+C35),3)</f>
        <v>0.88700000000000001</v>
      </c>
    </row>
    <row r="43" spans="1:9" ht="15" customHeight="1">
      <c r="A43" s="117" t="s">
        <v>158</v>
      </c>
      <c r="B43" s="117"/>
      <c r="C43" s="323">
        <f>+ROUND((C34),3)</f>
        <v>0.113</v>
      </c>
    </row>
    <row r="44" spans="1:9" ht="15" customHeight="1">
      <c r="A44" s="304" t="s">
        <v>48</v>
      </c>
      <c r="B44" s="304"/>
      <c r="C44" s="324">
        <f>+C42+C43</f>
        <v>1</v>
      </c>
    </row>
    <row r="45" spans="1:9" ht="15" customHeight="1">
      <c r="A45" s="117" t="s">
        <v>167</v>
      </c>
      <c r="B45" s="117"/>
      <c r="C45" s="146">
        <f>+ROUND((C36/($C$36+$C$37+$C$38+$C$35)),3)</f>
        <v>0.71099999999999997</v>
      </c>
    </row>
    <row r="46" spans="1:9" ht="15" customHeight="1">
      <c r="A46" s="117" t="s">
        <v>168</v>
      </c>
      <c r="B46" s="117"/>
      <c r="C46" s="146">
        <f>+ROUND((C37/($C$36+$C$37+$C$38+$C$35)),3)</f>
        <v>0.187</v>
      </c>
    </row>
    <row r="47" spans="1:9" ht="15" customHeight="1">
      <c r="A47" s="117" t="s">
        <v>169</v>
      </c>
      <c r="B47" s="117"/>
      <c r="C47" s="146">
        <f>+ROUND((C35/($C$36+$C$37+$C$38+$C$35)),3)+0.1%</f>
        <v>0.1</v>
      </c>
    </row>
    <row r="48" spans="1:9" ht="15" customHeight="1">
      <c r="A48" s="117" t="s">
        <v>164</v>
      </c>
      <c r="B48" s="117"/>
      <c r="C48" s="146">
        <f>+ROUND((C38/($C$36+$C$37+$C$38+C35)),3)</f>
        <v>2E-3</v>
      </c>
    </row>
    <row r="49" spans="1:3" ht="15" customHeight="1">
      <c r="A49" s="304" t="s">
        <v>48</v>
      </c>
      <c r="B49" s="304"/>
      <c r="C49" s="324">
        <f>SUM(C45:C48)</f>
        <v>0.99999999999999989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18"/>
  <sheetViews>
    <sheetView showGridLines="0" workbookViewId="0">
      <selection activeCell="A2" sqref="A2"/>
    </sheetView>
  </sheetViews>
  <sheetFormatPr defaultColWidth="11.42578125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customWidth="1"/>
    <col min="8" max="16384" width="11.42578125" style="6"/>
  </cols>
  <sheetData>
    <row r="3" spans="2:10" ht="15" customHeight="1" thickBot="1">
      <c r="B3" s="3" t="s">
        <v>170</v>
      </c>
      <c r="C3" s="421" t="str">
        <f>+Resultados!C3</f>
        <v xml:space="preserve">         Jun.22</v>
      </c>
      <c r="D3" s="421" t="str">
        <f>+Resultados!D3</f>
        <v xml:space="preserve">         Jun.21</v>
      </c>
      <c r="E3" s="421" t="s">
        <v>51</v>
      </c>
    </row>
    <row r="4" spans="2:10" ht="15" customHeight="1">
      <c r="B4" s="4" t="s">
        <v>171</v>
      </c>
      <c r="C4" s="347" t="e">
        <f>ROUND(cálculos!D28,0)</f>
        <v>#REF!</v>
      </c>
      <c r="D4" s="347" t="e">
        <f>ROUND(cálculos!E28,0)</f>
        <v>#REF!</v>
      </c>
      <c r="E4" s="348" t="e">
        <f>ROUND((C4-D4)/D4,3)</f>
        <v>#REF!</v>
      </c>
      <c r="G4" s="322" t="e">
        <f>+C4-D4</f>
        <v>#REF!</v>
      </c>
      <c r="I4" s="6">
        <v>60217880</v>
      </c>
      <c r="J4" s="6">
        <v>49674304</v>
      </c>
    </row>
    <row r="5" spans="2:10" ht="15" customHeight="1">
      <c r="B5" s="4" t="s">
        <v>172</v>
      </c>
      <c r="C5" s="347">
        <f>ROUND(cálculos!D29,0)</f>
        <v>-77735020</v>
      </c>
      <c r="D5" s="347">
        <f>ROUND(cálculos!E29,0)</f>
        <v>-78656522</v>
      </c>
      <c r="E5" s="348">
        <f t="shared" ref="E5:E8" si="0">ROUND((C5-D5)/D5,3)</f>
        <v>-1.2E-2</v>
      </c>
      <c r="G5" s="322">
        <f t="shared" ref="G5:G8" si="1">+C5-D5</f>
        <v>921502</v>
      </c>
      <c r="I5" s="6">
        <v>-39602985</v>
      </c>
      <c r="J5" s="6">
        <v>-39364601</v>
      </c>
    </row>
    <row r="6" spans="2:10" ht="15" customHeight="1">
      <c r="B6" s="4" t="s">
        <v>173</v>
      </c>
      <c r="C6" s="347">
        <f>ROUND(cálculos!D30,0)</f>
        <v>-66619091</v>
      </c>
      <c r="D6" s="347">
        <f>ROUND(cálculos!E30,0)</f>
        <v>-74164478</v>
      </c>
      <c r="E6" s="348">
        <f t="shared" si="0"/>
        <v>-0.10199999999999999</v>
      </c>
      <c r="G6" s="322">
        <f t="shared" si="1"/>
        <v>7545387</v>
      </c>
      <c r="I6" s="6">
        <v>-42671459</v>
      </c>
      <c r="J6" s="6">
        <v>-5579305</v>
      </c>
    </row>
    <row r="7" spans="2:10" ht="15" customHeight="1">
      <c r="B7" s="5" t="s">
        <v>174</v>
      </c>
      <c r="C7" s="349" t="e">
        <f>SUM(C4:C6)</f>
        <v>#REF!</v>
      </c>
      <c r="D7" s="349" t="e">
        <f>SUM(D4:D6)</f>
        <v>#REF!</v>
      </c>
      <c r="E7" s="348" t="e">
        <f t="shared" si="0"/>
        <v>#REF!</v>
      </c>
      <c r="G7" s="322" t="e">
        <f t="shared" si="1"/>
        <v>#REF!</v>
      </c>
      <c r="I7" s="6">
        <v>-22056564</v>
      </c>
      <c r="J7" s="6">
        <v>4730398</v>
      </c>
    </row>
    <row r="8" spans="2:10" ht="15" customHeight="1">
      <c r="B8" s="5" t="s">
        <v>175</v>
      </c>
      <c r="C8" s="349" t="e">
        <f>ROUND(cálculos!D33,0)</f>
        <v>#REF!</v>
      </c>
      <c r="D8" s="349" t="e">
        <f>ROUND(cálculos!E33,0)</f>
        <v>#REF!</v>
      </c>
      <c r="E8" s="427" t="e">
        <f t="shared" si="0"/>
        <v>#REF!</v>
      </c>
      <c r="G8" s="322" t="e">
        <f t="shared" si="1"/>
        <v>#REF!</v>
      </c>
      <c r="I8" s="6">
        <v>142502316</v>
      </c>
      <c r="J8" s="6">
        <v>182695251</v>
      </c>
    </row>
    <row r="9" spans="2:10" ht="15" customHeight="1">
      <c r="C9" s="36" t="e">
        <f>+C8-Balance!D6</f>
        <v>#REF!</v>
      </c>
      <c r="D9" s="36" t="e">
        <f>+D8-[6]Flujo!$E$72</f>
        <v>#REF!</v>
      </c>
    </row>
    <row r="11" spans="2:10" ht="15" customHeight="1">
      <c r="C11" s="16"/>
    </row>
    <row r="12" spans="2:10" ht="15" customHeight="1">
      <c r="C12" s="16"/>
      <c r="D12" s="36"/>
    </row>
    <row r="13" spans="2:10" ht="15" customHeight="1">
      <c r="C13" s="16"/>
    </row>
    <row r="14" spans="2:10" ht="15" customHeight="1">
      <c r="C14" s="16"/>
    </row>
    <row r="15" spans="2:10" ht="15" customHeight="1">
      <c r="C15" s="16"/>
    </row>
    <row r="16" spans="2:10" ht="15" customHeight="1">
      <c r="C16" s="16"/>
    </row>
    <row r="17" spans="3:3" ht="15" customHeight="1">
      <c r="C17" s="16"/>
    </row>
    <row r="18" spans="3:3" ht="15" customHeight="1">
      <c r="C18" s="24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  <customProperties>
    <customPr name="_pios_id" r:id="rId2"/>
  </customProperties>
  <ignoredErrors>
    <ignoredError sqref="C4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3:G17"/>
  <sheetViews>
    <sheetView showGridLines="0" workbookViewId="0">
      <selection activeCell="H7" sqref="H7"/>
    </sheetView>
  </sheetViews>
  <sheetFormatPr defaultColWidth="11.42578125" defaultRowHeight="15" customHeight="1"/>
  <cols>
    <col min="1" max="1" width="8" style="15" bestFit="1" customWidth="1"/>
    <col min="2" max="2" width="35.28515625" style="15" bestFit="1" customWidth="1"/>
    <col min="3" max="3" width="8.5703125" style="15" customWidth="1"/>
    <col min="4" max="5" width="13.7109375" style="15" customWidth="1"/>
    <col min="6" max="16384" width="11.42578125" style="15"/>
  </cols>
  <sheetData>
    <row r="3" spans="1:7" ht="15" customHeight="1" thickBot="1">
      <c r="B3" s="506"/>
      <c r="C3" s="503"/>
      <c r="D3" s="503" t="str">
        <f>+'Estado de situación financiera'!C3</f>
        <v xml:space="preserve">         Jun.22</v>
      </c>
      <c r="E3" s="503" t="str">
        <f>+'Estado de situación financiera'!D3</f>
        <v xml:space="preserve">         Dec. 21</v>
      </c>
    </row>
    <row r="4" spans="1:7" ht="15" customHeight="1">
      <c r="B4" s="56" t="s">
        <v>176</v>
      </c>
      <c r="C4" s="4"/>
    </row>
    <row r="5" spans="1:7" ht="15" customHeight="1">
      <c r="A5" s="51"/>
      <c r="B5" s="32" t="s">
        <v>177</v>
      </c>
      <c r="C5" s="44" t="s">
        <v>178</v>
      </c>
      <c r="D5" s="52">
        <f>cálculos!K7</f>
        <v>1.1599999999999999</v>
      </c>
      <c r="E5" s="52">
        <f>cálculos!M7</f>
        <v>1.1399999999999999</v>
      </c>
      <c r="F5" s="425">
        <f>+E5-D5</f>
        <v>-2.0000000000000018E-2</v>
      </c>
      <c r="G5" s="53"/>
    </row>
    <row r="6" spans="1:7" ht="15" customHeight="1">
      <c r="A6" s="51"/>
      <c r="B6" s="32" t="s">
        <v>179</v>
      </c>
      <c r="C6" s="44" t="s">
        <v>178</v>
      </c>
      <c r="D6" s="52">
        <f>cálculos!K10</f>
        <v>0.63</v>
      </c>
      <c r="E6" s="52">
        <f>cálculos!M10</f>
        <v>0.66</v>
      </c>
      <c r="F6" s="425">
        <f t="shared" ref="F6:F16" si="0">+E6-D6</f>
        <v>3.0000000000000027E-2</v>
      </c>
      <c r="G6" s="53"/>
    </row>
    <row r="7" spans="1:7" ht="15" customHeight="1">
      <c r="B7" s="56" t="s">
        <v>180</v>
      </c>
      <c r="C7" s="4"/>
      <c r="D7" s="54"/>
      <c r="E7" s="54"/>
      <c r="F7" s="425">
        <f t="shared" si="0"/>
        <v>0</v>
      </c>
      <c r="G7" s="53"/>
    </row>
    <row r="8" spans="1:7" ht="15" customHeight="1">
      <c r="B8" s="32" t="s">
        <v>181</v>
      </c>
      <c r="C8" s="44" t="s">
        <v>178</v>
      </c>
      <c r="D8" s="52">
        <f>cálculos!K14</f>
        <v>1.26</v>
      </c>
      <c r="E8" s="52">
        <f>cálculos!M14</f>
        <v>1.25</v>
      </c>
      <c r="F8" s="425">
        <f t="shared" si="0"/>
        <v>-1.0000000000000009E-2</v>
      </c>
      <c r="G8" s="53"/>
    </row>
    <row r="9" spans="1:7" ht="15" customHeight="1">
      <c r="A9" s="51"/>
      <c r="B9" s="32" t="s">
        <v>182</v>
      </c>
      <c r="C9" s="44" t="s">
        <v>178</v>
      </c>
      <c r="D9" s="52">
        <f>cálculos!K17</f>
        <v>0.16819999999999999</v>
      </c>
      <c r="E9" s="52">
        <f>cálculos!M17</f>
        <v>0.17960000000000001</v>
      </c>
      <c r="F9" s="425">
        <f t="shared" si="0"/>
        <v>1.1400000000000021E-2</v>
      </c>
      <c r="G9" s="53"/>
    </row>
    <row r="10" spans="1:7" ht="15" customHeight="1">
      <c r="A10" s="51"/>
      <c r="B10" s="32" t="s">
        <v>183</v>
      </c>
      <c r="C10" s="44" t="s">
        <v>178</v>
      </c>
      <c r="D10" s="52">
        <f>cálculos!K20</f>
        <v>0.83179999999999998</v>
      </c>
      <c r="E10" s="52">
        <f>cálculos!M20</f>
        <v>0.82040000000000002</v>
      </c>
      <c r="F10" s="425">
        <f t="shared" si="0"/>
        <v>-1.1399999999999966E-2</v>
      </c>
      <c r="G10" s="53"/>
    </row>
    <row r="11" spans="1:7" ht="15" customHeight="1">
      <c r="A11" s="51"/>
      <c r="B11" s="32" t="s">
        <v>184</v>
      </c>
      <c r="C11" s="44" t="s">
        <v>178</v>
      </c>
      <c r="D11" s="52">
        <f>cálculos!K23</f>
        <v>3.88</v>
      </c>
      <c r="E11" s="52">
        <f>cálculos!M23</f>
        <v>5.27</v>
      </c>
      <c r="F11" s="425">
        <f t="shared" si="0"/>
        <v>1.3899999999999997</v>
      </c>
      <c r="G11" s="53"/>
    </row>
    <row r="12" spans="1:7" ht="15" customHeight="1">
      <c r="B12" s="56" t="s">
        <v>185</v>
      </c>
      <c r="C12" s="4"/>
      <c r="D12" s="54"/>
      <c r="E12" s="54"/>
      <c r="F12" s="425">
        <f t="shared" si="0"/>
        <v>0</v>
      </c>
      <c r="G12" s="53"/>
    </row>
    <row r="13" spans="1:7" ht="24">
      <c r="A13" s="51"/>
      <c r="B13" s="407" t="s">
        <v>186</v>
      </c>
      <c r="C13" s="44" t="s">
        <v>187</v>
      </c>
      <c r="D13" s="52">
        <f>cálculos!K39</f>
        <v>6.02</v>
      </c>
      <c r="E13" s="52">
        <f>cálculos!M39</f>
        <v>7.06</v>
      </c>
      <c r="F13" s="425">
        <f t="shared" si="0"/>
        <v>1.04</v>
      </c>
      <c r="G13" s="53"/>
    </row>
    <row r="14" spans="1:7" ht="15" customHeight="1">
      <c r="A14" s="51"/>
      <c r="B14" s="32" t="s">
        <v>188</v>
      </c>
      <c r="C14" s="44" t="s">
        <v>187</v>
      </c>
      <c r="D14" s="52">
        <f>cálculos!K42</f>
        <v>1.69</v>
      </c>
      <c r="E14" s="52">
        <f>cálculos!M42</f>
        <v>1.9900000000000002</v>
      </c>
      <c r="F14" s="425">
        <f t="shared" si="0"/>
        <v>0.30000000000000027</v>
      </c>
      <c r="G14" s="53"/>
    </row>
    <row r="15" spans="1:7" ht="15" customHeight="1">
      <c r="A15" s="51"/>
      <c r="B15" s="32" t="s">
        <v>189</v>
      </c>
      <c r="C15" s="44" t="s">
        <v>146</v>
      </c>
      <c r="D15" s="52">
        <f>cálculos!K45</f>
        <v>41.73</v>
      </c>
      <c r="E15" s="52">
        <f>cálculos!M45</f>
        <v>48.99</v>
      </c>
      <c r="F15" s="425">
        <f t="shared" si="0"/>
        <v>7.2600000000000051</v>
      </c>
      <c r="G15" s="53"/>
    </row>
    <row r="16" spans="1:7" ht="15" customHeight="1">
      <c r="B16" s="32" t="s">
        <v>190</v>
      </c>
      <c r="C16" s="44" t="s">
        <v>187</v>
      </c>
      <c r="D16" s="52">
        <f>cálculos!K49</f>
        <v>10.18</v>
      </c>
      <c r="E16" s="52">
        <f>cálculos!M49</f>
        <v>13.59</v>
      </c>
      <c r="F16" s="425">
        <f t="shared" si="0"/>
        <v>3.41</v>
      </c>
      <c r="G16" s="53"/>
    </row>
    <row r="17" spans="7:7" ht="15" customHeight="1">
      <c r="G17" s="53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Aguas Andinas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M.Angélica</dc:creator>
  <cp:keywords/>
  <dc:description/>
  <cp:lastModifiedBy>Satya Prakash Yadav</cp:lastModifiedBy>
  <cp:revision/>
  <dcterms:created xsi:type="dcterms:W3CDTF">2009-05-16T00:13:33Z</dcterms:created>
  <dcterms:modified xsi:type="dcterms:W3CDTF">2022-08-30T22:58:57Z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3-Restringido</vt:lpwstr>
  </property>
  <property fmtid="{D5CDD505-2E9C-101B-9397-08002B2CF9AE}" pid="6" name="MSIP_Label_57e687cc-f93a-416b-a813-dfd9fe80a0f5_Enabled">
    <vt:lpwstr>true</vt:lpwstr>
  </property>
  <property fmtid="{D5CDD505-2E9C-101B-9397-08002B2CF9AE}" pid="7" name="MSIP_Label_57e687cc-f93a-416b-a813-dfd9fe80a0f5_SetDate">
    <vt:lpwstr>2022-08-30T22:58:26Z</vt:lpwstr>
  </property>
  <property fmtid="{D5CDD505-2E9C-101B-9397-08002B2CF9AE}" pid="8" name="MSIP_Label_57e687cc-f93a-416b-a813-dfd9fe80a0f5_Method">
    <vt:lpwstr>Standard</vt:lpwstr>
  </property>
  <property fmtid="{D5CDD505-2E9C-101B-9397-08002B2CF9AE}" pid="9" name="MSIP_Label_57e687cc-f93a-416b-a813-dfd9fe80a0f5_Name">
    <vt:lpwstr>Business</vt:lpwstr>
  </property>
  <property fmtid="{D5CDD505-2E9C-101B-9397-08002B2CF9AE}" pid="10" name="MSIP_Label_57e687cc-f93a-416b-a813-dfd9fe80a0f5_SiteId">
    <vt:lpwstr>ffeebe53-4714-40e9-81b1-cb5984a2ddfd</vt:lpwstr>
  </property>
  <property fmtid="{D5CDD505-2E9C-101B-9397-08002B2CF9AE}" pid="11" name="MSIP_Label_57e687cc-f93a-416b-a813-dfd9fe80a0f5_ActionId">
    <vt:lpwstr>6344f583-0390-48d1-a5fd-48f05f62086b</vt:lpwstr>
  </property>
  <property fmtid="{D5CDD505-2E9C-101B-9397-08002B2CF9AE}" pid="12" name="MSIP_Label_57e687cc-f93a-416b-a813-dfd9fe80a0f5_ContentBits">
    <vt:lpwstr>0</vt:lpwstr>
  </property>
</Properties>
</file>