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workbookProtection workbookPassword="C4C8" lockStructure="1"/>
  <bookViews>
    <workbookView xWindow="-15" yWindow="3975" windowWidth="15330" windowHeight="4200" tabRatio="904" firstSheet="1" activeTab="6"/>
  </bookViews>
  <sheets>
    <sheet name="BExRepositorySheet" sheetId="9" state="veryHidden" r:id="rId1"/>
    <sheet name="Cuadro Ingresos " sheetId="18" r:id="rId2"/>
    <sheet name="Cuadro Bce" sheetId="8" r:id="rId3"/>
    <sheet name="Indicadores" sheetId="15" r:id="rId4"/>
    <sheet name="Fechas Indexaciones" sheetId="19" state="hidden" r:id="rId5"/>
    <sheet name="Cuadro Flujo" sheetId="17" r:id="rId6"/>
    <sheet name="Cuadro Finanzas" sheetId="23" r:id="rId7"/>
    <sheet name="cálculos" sheetId="4" state="hidden" r:id="rId8"/>
    <sheet name="Balance" sheetId="11" state="hidden" r:id="rId9"/>
    <sheet name="Resultado" sheetId="12" state="hidden" r:id="rId10"/>
    <sheet name="Flujo" sheetId="13" state="hidden" r:id="rId11"/>
    <sheet name="Anualizados" sheetId="10" state="hidden" r:id="rId12"/>
    <sheet name="valor acción" sheetId="14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cálculos!$I$4:$M$50</definedName>
    <definedName name="_xlnm.Print_Area" localSheetId="2">'Cuadro Bce'!#REF!</definedName>
    <definedName name="_xlnm.Print_Area" localSheetId="5">'Cuadro Flujo'!#REF!</definedName>
    <definedName name="_xlnm.Print_Area" localSheetId="1">'Cuadro Ingresos '!#REF!</definedName>
    <definedName name="_xlnm.Print_Area" localSheetId="3">Indicadores!#REF!</definedName>
  </definedNames>
  <calcPr calcId="145621"/>
</workbook>
</file>

<file path=xl/calcChain.xml><?xml version="1.0" encoding="utf-8"?>
<calcChain xmlns="http://schemas.openxmlformats.org/spreadsheetml/2006/main">
  <c r="E6" i="23" l="1"/>
  <c r="F6" i="23"/>
  <c r="G6" i="23"/>
  <c r="H6" i="23"/>
  <c r="D6" i="23"/>
  <c r="G75" i="13" l="1"/>
  <c r="E32" i="4" s="1"/>
  <c r="F75" i="13"/>
  <c r="H72" i="13"/>
  <c r="F71" i="13"/>
  <c r="E71" i="13"/>
  <c r="G71" i="13" s="1"/>
  <c r="D71" i="13"/>
  <c r="D67" i="13"/>
  <c r="G66" i="13"/>
  <c r="F66" i="13"/>
  <c r="H65" i="13"/>
  <c r="H64" i="13"/>
  <c r="H62" i="13"/>
  <c r="H61" i="13"/>
  <c r="H60" i="13"/>
  <c r="H58" i="13"/>
  <c r="H53" i="13"/>
  <c r="G63" i="13"/>
  <c r="F63" i="13"/>
  <c r="G59" i="13"/>
  <c r="F59" i="13"/>
  <c r="E57" i="13"/>
  <c r="E67" i="13" s="1"/>
  <c r="D57" i="13"/>
  <c r="G56" i="13"/>
  <c r="G57" i="13" s="1"/>
  <c r="G67" i="13" s="1"/>
  <c r="E30" i="4" s="1"/>
  <c r="F56" i="13"/>
  <c r="F57" i="13" s="1"/>
  <c r="G55" i="13"/>
  <c r="F55" i="13"/>
  <c r="G54" i="13"/>
  <c r="H54" i="13" s="1"/>
  <c r="F54" i="13"/>
  <c r="G53" i="13"/>
  <c r="F53" i="13"/>
  <c r="G52" i="13"/>
  <c r="F52" i="13"/>
  <c r="G51" i="13"/>
  <c r="F51" i="13"/>
  <c r="H51" i="13" s="1"/>
  <c r="E49" i="13"/>
  <c r="D49" i="13"/>
  <c r="G48" i="13"/>
  <c r="F48" i="13"/>
  <c r="H48" i="13" s="1"/>
  <c r="H47" i="13"/>
  <c r="H46" i="13"/>
  <c r="H45" i="13"/>
  <c r="H44" i="13"/>
  <c r="H43" i="13"/>
  <c r="H42" i="13"/>
  <c r="H41" i="13"/>
  <c r="H40" i="13"/>
  <c r="H39" i="13"/>
  <c r="H38" i="13"/>
  <c r="H37" i="13"/>
  <c r="H35" i="13"/>
  <c r="G36" i="13"/>
  <c r="F36" i="13"/>
  <c r="G34" i="13"/>
  <c r="F34" i="13"/>
  <c r="G33" i="13"/>
  <c r="F33" i="13"/>
  <c r="G32" i="13"/>
  <c r="F32" i="13"/>
  <c r="H32" i="13" s="1"/>
  <c r="G31" i="13"/>
  <c r="F31" i="13"/>
  <c r="G30" i="13"/>
  <c r="F30" i="13"/>
  <c r="G29" i="13"/>
  <c r="F29" i="13"/>
  <c r="G28" i="13"/>
  <c r="F28" i="13"/>
  <c r="H28" i="13" s="1"/>
  <c r="G27" i="13"/>
  <c r="F27" i="13"/>
  <c r="G26" i="13"/>
  <c r="F26" i="13"/>
  <c r="G25" i="13"/>
  <c r="F25" i="13"/>
  <c r="E23" i="13"/>
  <c r="D23" i="13"/>
  <c r="D73" i="13" s="1"/>
  <c r="D77" i="13" s="1"/>
  <c r="G22" i="13"/>
  <c r="F22" i="13"/>
  <c r="G21" i="13"/>
  <c r="F21" i="13"/>
  <c r="H21" i="13" s="1"/>
  <c r="G20" i="13"/>
  <c r="F20" i="13"/>
  <c r="H20" i="13" s="1"/>
  <c r="G19" i="13"/>
  <c r="F19" i="13"/>
  <c r="H18" i="13"/>
  <c r="H17" i="13"/>
  <c r="H13" i="13"/>
  <c r="G16" i="13"/>
  <c r="F16" i="13"/>
  <c r="H16" i="13" s="1"/>
  <c r="G15" i="13"/>
  <c r="F15" i="13"/>
  <c r="G14" i="13"/>
  <c r="F14" i="13"/>
  <c r="H14" i="13" s="1"/>
  <c r="G12" i="13"/>
  <c r="F12" i="13"/>
  <c r="G10" i="13"/>
  <c r="F10" i="13"/>
  <c r="H10" i="13" s="1"/>
  <c r="G9" i="13"/>
  <c r="F9" i="13"/>
  <c r="H9" i="13" s="1"/>
  <c r="G8" i="13"/>
  <c r="F8" i="13"/>
  <c r="H7" i="13"/>
  <c r="G6" i="13"/>
  <c r="G23" i="13" s="1"/>
  <c r="F6" i="13"/>
  <c r="H26" i="12"/>
  <c r="H22" i="12"/>
  <c r="H20" i="12"/>
  <c r="P27" i="12"/>
  <c r="P28" i="12" s="1"/>
  <c r="O27" i="12"/>
  <c r="O28" i="12" s="1"/>
  <c r="K28" i="12"/>
  <c r="L27" i="12"/>
  <c r="M27" i="12" s="1"/>
  <c r="K27" i="12"/>
  <c r="E27" i="12"/>
  <c r="E28" i="12" s="1"/>
  <c r="D27" i="12"/>
  <c r="M26" i="12"/>
  <c r="M22" i="12"/>
  <c r="M20" i="12"/>
  <c r="J26" i="12"/>
  <c r="P24" i="12"/>
  <c r="O24" i="12"/>
  <c r="Q24" i="12" s="1"/>
  <c r="L24" i="12"/>
  <c r="K24" i="12"/>
  <c r="E24" i="12"/>
  <c r="D24" i="12"/>
  <c r="H24" i="12" s="1"/>
  <c r="Q20" i="12"/>
  <c r="J20" i="12"/>
  <c r="P18" i="12"/>
  <c r="O18" i="12"/>
  <c r="P16" i="12"/>
  <c r="O16" i="12"/>
  <c r="Q16" i="12" s="1"/>
  <c r="P15" i="12"/>
  <c r="O15" i="12"/>
  <c r="P14" i="12"/>
  <c r="O14" i="12"/>
  <c r="Q14" i="12" s="1"/>
  <c r="P13" i="12"/>
  <c r="O13" i="12"/>
  <c r="Q13" i="12" s="1"/>
  <c r="P12" i="12"/>
  <c r="O12" i="12"/>
  <c r="Q12" i="12" s="1"/>
  <c r="P11" i="12"/>
  <c r="O11" i="12"/>
  <c r="Q11" i="12" s="1"/>
  <c r="P10" i="12"/>
  <c r="O10" i="12"/>
  <c r="Q10" i="12" s="1"/>
  <c r="P9" i="12"/>
  <c r="O9" i="12"/>
  <c r="Q9" i="12" s="1"/>
  <c r="P8" i="12"/>
  <c r="O8" i="12"/>
  <c r="Q8" i="12" s="1"/>
  <c r="P7" i="12"/>
  <c r="P17" i="12" s="1"/>
  <c r="O7" i="12"/>
  <c r="Q7" i="12" s="1"/>
  <c r="L18" i="12"/>
  <c r="K18" i="12"/>
  <c r="M18" i="12" s="1"/>
  <c r="L16" i="12"/>
  <c r="K16" i="12"/>
  <c r="M16" i="12" s="1"/>
  <c r="L15" i="12"/>
  <c r="K15" i="12"/>
  <c r="M15" i="12" s="1"/>
  <c r="L14" i="12"/>
  <c r="K14" i="12"/>
  <c r="M14" i="12" s="1"/>
  <c r="L13" i="12"/>
  <c r="K13" i="12"/>
  <c r="M13" i="12" s="1"/>
  <c r="L12" i="12"/>
  <c r="K12" i="12"/>
  <c r="M12" i="12" s="1"/>
  <c r="L11" i="12"/>
  <c r="K11" i="12"/>
  <c r="M11" i="12" s="1"/>
  <c r="L10" i="12"/>
  <c r="K10" i="12"/>
  <c r="M10" i="12" s="1"/>
  <c r="L9" i="12"/>
  <c r="K9" i="12"/>
  <c r="M9" i="12" s="1"/>
  <c r="L8" i="12"/>
  <c r="K8" i="12"/>
  <c r="M8" i="12" s="1"/>
  <c r="L7" i="12"/>
  <c r="K7" i="12"/>
  <c r="K17" i="12" s="1"/>
  <c r="E18" i="12"/>
  <c r="D18" i="12"/>
  <c r="E16" i="12"/>
  <c r="D16" i="12"/>
  <c r="H16" i="12" s="1"/>
  <c r="E15" i="12"/>
  <c r="D15" i="12"/>
  <c r="H15" i="12" s="1"/>
  <c r="E14" i="12"/>
  <c r="D14" i="12"/>
  <c r="H14" i="12" s="1"/>
  <c r="E13" i="12"/>
  <c r="D13" i="12"/>
  <c r="J13" i="12" s="1"/>
  <c r="E12" i="12"/>
  <c r="D62" i="4" s="1"/>
  <c r="D12" i="12"/>
  <c r="H12" i="12" s="1"/>
  <c r="E11" i="12"/>
  <c r="D11" i="12"/>
  <c r="H11" i="12" s="1"/>
  <c r="E10" i="12"/>
  <c r="D10" i="12"/>
  <c r="H10" i="12" s="1"/>
  <c r="E9" i="12"/>
  <c r="D9" i="12"/>
  <c r="J9" i="12" s="1"/>
  <c r="E8" i="12"/>
  <c r="D51" i="4" s="1"/>
  <c r="D8" i="12"/>
  <c r="H8" i="12" s="1"/>
  <c r="E7" i="12"/>
  <c r="D7" i="12"/>
  <c r="F73" i="11"/>
  <c r="F68" i="11"/>
  <c r="F67" i="11"/>
  <c r="F64" i="11"/>
  <c r="F63" i="11"/>
  <c r="F62" i="11"/>
  <c r="F60" i="11"/>
  <c r="F52" i="11"/>
  <c r="F51" i="11"/>
  <c r="F49" i="11"/>
  <c r="F48" i="11"/>
  <c r="F39" i="11"/>
  <c r="F38" i="11"/>
  <c r="E71" i="11"/>
  <c r="E12" i="4" s="1"/>
  <c r="D71" i="11"/>
  <c r="E69" i="11"/>
  <c r="D69" i="11"/>
  <c r="F69" i="11" s="1"/>
  <c r="E66" i="11"/>
  <c r="E70" i="11" s="1"/>
  <c r="D66" i="11"/>
  <c r="E65" i="11"/>
  <c r="D65" i="11"/>
  <c r="F65" i="11" s="1"/>
  <c r="E58" i="11"/>
  <c r="D58" i="11"/>
  <c r="E57" i="11"/>
  <c r="D57" i="11"/>
  <c r="F57" i="11" s="1"/>
  <c r="E56" i="11"/>
  <c r="D56" i="11"/>
  <c r="E55" i="11"/>
  <c r="D55" i="11"/>
  <c r="F55" i="11" s="1"/>
  <c r="E54" i="11"/>
  <c r="D54" i="11"/>
  <c r="E53" i="11"/>
  <c r="D53" i="11"/>
  <c r="D59" i="11" s="1"/>
  <c r="E46" i="11"/>
  <c r="D46" i="11"/>
  <c r="E45" i="11"/>
  <c r="D45" i="11"/>
  <c r="F45" i="11" s="1"/>
  <c r="E44" i="11"/>
  <c r="D44" i="11"/>
  <c r="E43" i="11"/>
  <c r="D43" i="11"/>
  <c r="F43" i="11" s="1"/>
  <c r="E42" i="11"/>
  <c r="D42" i="11"/>
  <c r="E41" i="11"/>
  <c r="D41" i="11"/>
  <c r="F41" i="11" s="1"/>
  <c r="E40" i="11"/>
  <c r="D40" i="11"/>
  <c r="D47" i="11" s="1"/>
  <c r="F36" i="11"/>
  <c r="F35" i="11"/>
  <c r="F34" i="11"/>
  <c r="F32" i="11"/>
  <c r="F23" i="11"/>
  <c r="F22" i="11"/>
  <c r="F21" i="11"/>
  <c r="F19" i="11"/>
  <c r="F18" i="11"/>
  <c r="F17" i="11"/>
  <c r="F16" i="11"/>
  <c r="F9" i="11"/>
  <c r="E30" i="11"/>
  <c r="D30" i="11"/>
  <c r="F30" i="11" s="1"/>
  <c r="E29" i="11"/>
  <c r="F29" i="11" s="1"/>
  <c r="D29" i="11"/>
  <c r="E28" i="11"/>
  <c r="D28" i="11"/>
  <c r="F28" i="11" s="1"/>
  <c r="E27" i="11"/>
  <c r="D27" i="11"/>
  <c r="E26" i="11"/>
  <c r="D26" i="11"/>
  <c r="F26" i="11" s="1"/>
  <c r="E25" i="11"/>
  <c r="F25" i="11" s="1"/>
  <c r="D25" i="11"/>
  <c r="E24" i="11"/>
  <c r="D24" i="11"/>
  <c r="F24" i="11" s="1"/>
  <c r="E14" i="11"/>
  <c r="F14" i="11" s="1"/>
  <c r="D14" i="11"/>
  <c r="E13" i="11"/>
  <c r="D13" i="11"/>
  <c r="F13" i="11" s="1"/>
  <c r="E12" i="11"/>
  <c r="D12" i="11"/>
  <c r="E11" i="11"/>
  <c r="D11" i="11"/>
  <c r="F11" i="11" s="1"/>
  <c r="E10" i="11"/>
  <c r="F10" i="11" s="1"/>
  <c r="D10" i="11"/>
  <c r="E8" i="11"/>
  <c r="D8" i="11"/>
  <c r="D15" i="11" s="1"/>
  <c r="E66" i="4"/>
  <c r="M30" i="4" s="1"/>
  <c r="D66" i="4"/>
  <c r="E65" i="4"/>
  <c r="D65" i="4"/>
  <c r="E24" i="4" s="1"/>
  <c r="D60" i="4"/>
  <c r="D59" i="4"/>
  <c r="C59" i="4"/>
  <c r="F59" i="4" s="1"/>
  <c r="D58" i="4"/>
  <c r="E21" i="4" s="1"/>
  <c r="D57" i="4"/>
  <c r="C57" i="4"/>
  <c r="F57" i="4" s="1"/>
  <c r="D55" i="4"/>
  <c r="C55" i="4"/>
  <c r="K50" i="4"/>
  <c r="Q50" i="4" s="1"/>
  <c r="F63" i="4"/>
  <c r="E63" i="4"/>
  <c r="E62" i="4"/>
  <c r="E60" i="4"/>
  <c r="E59" i="4"/>
  <c r="E58" i="4"/>
  <c r="E57" i="4"/>
  <c r="E55" i="4"/>
  <c r="F54" i="4"/>
  <c r="E54" i="4"/>
  <c r="E53" i="4"/>
  <c r="E52" i="4"/>
  <c r="E51" i="4"/>
  <c r="E50" i="4"/>
  <c r="D53" i="4"/>
  <c r="D52" i="4"/>
  <c r="C52" i="4"/>
  <c r="D50" i="4"/>
  <c r="C50" i="4"/>
  <c r="D18" i="4" s="1"/>
  <c r="K35" i="4" s="1"/>
  <c r="E49" i="4"/>
  <c r="D49" i="4"/>
  <c r="Q46" i="4"/>
  <c r="D46" i="4"/>
  <c r="M49" i="4" s="1"/>
  <c r="C46" i="4"/>
  <c r="K49" i="4" s="1"/>
  <c r="L49" i="4" s="1"/>
  <c r="D38" i="4"/>
  <c r="D37" i="4"/>
  <c r="D36" i="4"/>
  <c r="F32" i="4"/>
  <c r="F31" i="4"/>
  <c r="F30" i="4"/>
  <c r="F29" i="4"/>
  <c r="F28" i="4"/>
  <c r="F27" i="4"/>
  <c r="E27" i="4"/>
  <c r="D27" i="4"/>
  <c r="M24" i="4"/>
  <c r="F25" i="4"/>
  <c r="M29" i="4" s="1"/>
  <c r="E25" i="4"/>
  <c r="F24" i="4"/>
  <c r="M27" i="4" s="1"/>
  <c r="F23" i="4"/>
  <c r="M26" i="4" s="1"/>
  <c r="F22" i="4"/>
  <c r="E22" i="4"/>
  <c r="F21" i="4"/>
  <c r="M28" i="4" s="1"/>
  <c r="F20" i="4"/>
  <c r="M23" i="4" s="1"/>
  <c r="N23" i="4" s="1"/>
  <c r="F19" i="4"/>
  <c r="F18" i="4"/>
  <c r="E18" i="4"/>
  <c r="M35" i="4" s="1"/>
  <c r="D16" i="4"/>
  <c r="C49" i="4" s="1"/>
  <c r="G14" i="4"/>
  <c r="D12" i="4"/>
  <c r="G8" i="4"/>
  <c r="D39" i="4" s="1"/>
  <c r="M4" i="4"/>
  <c r="K4" i="4"/>
  <c r="F33" i="4" l="1"/>
  <c r="M10" i="4" s="1"/>
  <c r="C51" i="4"/>
  <c r="E61" i="4"/>
  <c r="C66" i="4"/>
  <c r="E15" i="11"/>
  <c r="E20" i="11" s="1"/>
  <c r="E6" i="4" s="1"/>
  <c r="M7" i="4" s="1"/>
  <c r="E59" i="11"/>
  <c r="D17" i="12"/>
  <c r="Q15" i="12"/>
  <c r="J24" i="12"/>
  <c r="H8" i="13"/>
  <c r="H12" i="13"/>
  <c r="H15" i="13"/>
  <c r="H19" i="13"/>
  <c r="H22" i="13"/>
  <c r="H25" i="13"/>
  <c r="H27" i="13"/>
  <c r="H29" i="13"/>
  <c r="H31" i="13"/>
  <c r="H33" i="13"/>
  <c r="H36" i="13"/>
  <c r="H66" i="13"/>
  <c r="E47" i="11"/>
  <c r="E50" i="11" s="1"/>
  <c r="E10" i="4" s="1"/>
  <c r="E56" i="4"/>
  <c r="E64" i="4" s="1"/>
  <c r="C62" i="4"/>
  <c r="F62" i="4" s="1"/>
  <c r="F12" i="11"/>
  <c r="F27" i="11"/>
  <c r="F42" i="11"/>
  <c r="F44" i="11"/>
  <c r="F46" i="11"/>
  <c r="F54" i="11"/>
  <c r="F56" i="11"/>
  <c r="F58" i="11"/>
  <c r="F66" i="11"/>
  <c r="F71" i="11"/>
  <c r="E17" i="12"/>
  <c r="H27" i="12"/>
  <c r="F23" i="13"/>
  <c r="D69" i="13"/>
  <c r="H52" i="13"/>
  <c r="H59" i="13"/>
  <c r="F79" i="13"/>
  <c r="H71" i="13"/>
  <c r="C53" i="4"/>
  <c r="F53" i="4" s="1"/>
  <c r="E19" i="4"/>
  <c r="L17" i="12"/>
  <c r="L19" i="12" s="1"/>
  <c r="L21" i="12" s="1"/>
  <c r="L23" i="12" s="1"/>
  <c r="D28" i="12"/>
  <c r="E69" i="13"/>
  <c r="G49" i="13"/>
  <c r="E29" i="4" s="1"/>
  <c r="H30" i="13"/>
  <c r="H34" i="13"/>
  <c r="H55" i="13"/>
  <c r="H63" i="13"/>
  <c r="H23" i="13"/>
  <c r="D28" i="4"/>
  <c r="F67" i="13"/>
  <c r="H57" i="13"/>
  <c r="G69" i="13"/>
  <c r="G73" i="13" s="1"/>
  <c r="G77" i="13" s="1"/>
  <c r="E28" i="4"/>
  <c r="E31" i="4" s="1"/>
  <c r="F49" i="13"/>
  <c r="H56" i="13"/>
  <c r="H75" i="13"/>
  <c r="H26" i="13"/>
  <c r="E73" i="13"/>
  <c r="E77" i="13" s="1"/>
  <c r="D32" i="4"/>
  <c r="H6" i="13"/>
  <c r="E19" i="12"/>
  <c r="E21" i="12" s="1"/>
  <c r="E23" i="12" s="1"/>
  <c r="P19" i="12"/>
  <c r="P21" i="12" s="1"/>
  <c r="P23" i="12" s="1"/>
  <c r="P25" i="12" s="1"/>
  <c r="M17" i="12"/>
  <c r="K19" i="12"/>
  <c r="H28" i="12"/>
  <c r="J17" i="12"/>
  <c r="H17" i="12"/>
  <c r="D19" i="12"/>
  <c r="Q35" i="4"/>
  <c r="F52" i="4"/>
  <c r="F55" i="4"/>
  <c r="C58" i="4"/>
  <c r="C60" i="4"/>
  <c r="F60" i="4" s="1"/>
  <c r="C65" i="4"/>
  <c r="J10" i="12"/>
  <c r="J14" i="12"/>
  <c r="J18" i="12"/>
  <c r="M7" i="12"/>
  <c r="L28" i="12"/>
  <c r="M28" i="12" s="1"/>
  <c r="H9" i="12"/>
  <c r="H13" i="12"/>
  <c r="D56" i="4"/>
  <c r="J7" i="12"/>
  <c r="J11" i="12"/>
  <c r="J15" i="12"/>
  <c r="M24" i="12"/>
  <c r="H18" i="12"/>
  <c r="F51" i="4"/>
  <c r="J8" i="12"/>
  <c r="J12" i="12"/>
  <c r="J16" i="12"/>
  <c r="Q18" i="12"/>
  <c r="H7" i="12"/>
  <c r="D61" i="4"/>
  <c r="O17" i="12"/>
  <c r="Q17" i="12" s="1"/>
  <c r="D11" i="4"/>
  <c r="D61" i="11"/>
  <c r="F59" i="11"/>
  <c r="E11" i="4"/>
  <c r="M20" i="4" s="1"/>
  <c r="E61" i="11"/>
  <c r="D50" i="11"/>
  <c r="F47" i="11"/>
  <c r="M11" i="4"/>
  <c r="M8" i="4"/>
  <c r="E13" i="4"/>
  <c r="D35" i="4" s="1"/>
  <c r="M40" i="4" s="1"/>
  <c r="E72" i="11"/>
  <c r="E74" i="11" s="1"/>
  <c r="F15" i="11"/>
  <c r="D20" i="11"/>
  <c r="F12" i="4"/>
  <c r="D31" i="11"/>
  <c r="F8" i="11"/>
  <c r="E31" i="11"/>
  <c r="D70" i="11"/>
  <c r="F40" i="11"/>
  <c r="F53" i="11"/>
  <c r="Q49" i="4"/>
  <c r="N49" i="4"/>
  <c r="M32" i="4"/>
  <c r="D64" i="4"/>
  <c r="E33" i="4"/>
  <c r="P49" i="4"/>
  <c r="M17" i="4"/>
  <c r="C61" i="4"/>
  <c r="F11" i="4"/>
  <c r="M18" i="4"/>
  <c r="M21" i="4" s="1"/>
  <c r="N20" i="4" s="1"/>
  <c r="K20" i="4"/>
  <c r="F50" i="4"/>
  <c r="N10" i="4" l="1"/>
  <c r="O19" i="12"/>
  <c r="M15" i="4"/>
  <c r="F66" i="4"/>
  <c r="K30" i="4"/>
  <c r="D19" i="4"/>
  <c r="C56" i="4"/>
  <c r="F56" i="4" s="1"/>
  <c r="E14" i="4"/>
  <c r="M14" i="4"/>
  <c r="D25" i="4"/>
  <c r="K29" i="4" s="1"/>
  <c r="L25" i="12"/>
  <c r="H67" i="13"/>
  <c r="D30" i="4"/>
  <c r="H49" i="13"/>
  <c r="D29" i="4"/>
  <c r="F69" i="13"/>
  <c r="F65" i="4"/>
  <c r="D24" i="4"/>
  <c r="K27" i="4" s="1"/>
  <c r="F61" i="4"/>
  <c r="Q19" i="12"/>
  <c r="O21" i="12"/>
  <c r="F58" i="4"/>
  <c r="D21" i="4"/>
  <c r="K28" i="4" s="1"/>
  <c r="H19" i="12"/>
  <c r="D21" i="12"/>
  <c r="J19" i="12"/>
  <c r="M19" i="12"/>
  <c r="K21" i="12"/>
  <c r="E25" i="12"/>
  <c r="F70" i="11"/>
  <c r="D13" i="4"/>
  <c r="D72" i="11"/>
  <c r="N7" i="4"/>
  <c r="E33" i="11"/>
  <c r="E76" i="11" s="1"/>
  <c r="E7" i="4"/>
  <c r="E8" i="4" s="1"/>
  <c r="M43" i="4" s="1"/>
  <c r="F50" i="11"/>
  <c r="D10" i="4"/>
  <c r="K14" i="4" s="1"/>
  <c r="F20" i="11"/>
  <c r="D6" i="4"/>
  <c r="F61" i="11"/>
  <c r="F31" i="11"/>
  <c r="D7" i="4"/>
  <c r="D33" i="11"/>
  <c r="F33" i="11" s="1"/>
  <c r="R20" i="4"/>
  <c r="Q20" i="4"/>
  <c r="N17" i="4"/>
  <c r="D68" i="4"/>
  <c r="E23" i="4" s="1"/>
  <c r="D67" i="4"/>
  <c r="E20" i="4"/>
  <c r="E68" i="4"/>
  <c r="M39" i="4" s="1"/>
  <c r="E67" i="4"/>
  <c r="N14" i="4" l="1"/>
  <c r="C64" i="4"/>
  <c r="C68" i="4" s="1"/>
  <c r="F73" i="13"/>
  <c r="H69" i="13"/>
  <c r="D31" i="4"/>
  <c r="D33" i="4" s="1"/>
  <c r="K10" i="4" s="1"/>
  <c r="J21" i="12"/>
  <c r="D23" i="12"/>
  <c r="H21" i="12"/>
  <c r="K23" i="12"/>
  <c r="M21" i="12"/>
  <c r="O23" i="12"/>
  <c r="Q21" i="12"/>
  <c r="R14" i="4"/>
  <c r="Q14" i="4"/>
  <c r="D74" i="11"/>
  <c r="F72" i="11"/>
  <c r="K15" i="4"/>
  <c r="F13" i="4"/>
  <c r="K40" i="4"/>
  <c r="K7" i="4"/>
  <c r="D8" i="4"/>
  <c r="K43" i="4" s="1"/>
  <c r="K18" i="4"/>
  <c r="K17" i="4"/>
  <c r="K8" i="4"/>
  <c r="D14" i="4"/>
  <c r="K11" i="4"/>
  <c r="F10" i="4"/>
  <c r="C67" i="4"/>
  <c r="F67" i="4" s="1"/>
  <c r="N39" i="4"/>
  <c r="M45" i="4"/>
  <c r="N45" i="4" s="1"/>
  <c r="M42" i="4"/>
  <c r="N42" i="4" s="1"/>
  <c r="F64" i="4" l="1"/>
  <c r="D20" i="4"/>
  <c r="F77" i="13"/>
  <c r="H73" i="13"/>
  <c r="Q10" i="4"/>
  <c r="R10" i="4"/>
  <c r="Q23" i="12"/>
  <c r="R23" i="12" s="1"/>
  <c r="O25" i="12"/>
  <c r="Q25" i="12" s="1"/>
  <c r="S23" i="12"/>
  <c r="H23" i="12"/>
  <c r="D25" i="12"/>
  <c r="J23" i="12"/>
  <c r="M23" i="12"/>
  <c r="K25" i="12"/>
  <c r="M25" i="12" s="1"/>
  <c r="R15" i="4"/>
  <c r="Q15" i="4"/>
  <c r="R7" i="4"/>
  <c r="L7" i="4"/>
  <c r="P7" i="4" s="1"/>
  <c r="Q7" i="4"/>
  <c r="L14" i="4"/>
  <c r="P14" i="4" s="1"/>
  <c r="L17" i="4"/>
  <c r="P17" i="4" s="1"/>
  <c r="R17" i="4"/>
  <c r="Q17" i="4"/>
  <c r="D76" i="11"/>
  <c r="F74" i="11"/>
  <c r="Q11" i="4"/>
  <c r="R11" i="4"/>
  <c r="L10" i="4"/>
  <c r="K21" i="4"/>
  <c r="R18" i="4"/>
  <c r="Q18" i="4"/>
  <c r="R43" i="4"/>
  <c r="Q43" i="4"/>
  <c r="R8" i="4"/>
  <c r="Q8" i="4"/>
  <c r="Q40" i="4"/>
  <c r="R40" i="4"/>
  <c r="F68" i="4"/>
  <c r="D23" i="4"/>
  <c r="K26" i="4" s="1"/>
  <c r="K32" i="4" s="1"/>
  <c r="H77" i="13" l="1"/>
  <c r="F78" i="13"/>
  <c r="J25" i="12"/>
  <c r="H25" i="12"/>
  <c r="S10" i="4"/>
  <c r="S11" i="4" s="1"/>
  <c r="P10" i="4"/>
  <c r="L20" i="4"/>
  <c r="P20" i="4" s="1"/>
  <c r="Q21" i="4"/>
  <c r="R21" i="4"/>
  <c r="D22" i="4"/>
  <c r="N32" i="4"/>
  <c r="B10" i="10" l="1"/>
  <c r="B17" i="10"/>
  <c r="B19" i="10"/>
  <c r="B18" i="10"/>
  <c r="B12" i="10"/>
  <c r="B11" i="10"/>
  <c r="B13" i="10" l="1"/>
  <c r="B20" i="10" s="1"/>
  <c r="C3" i="10" l="1"/>
  <c r="C17" i="10" l="1"/>
  <c r="C18" i="10" l="1"/>
  <c r="C19" i="10"/>
  <c r="C11" i="10" l="1"/>
  <c r="C4" i="10"/>
  <c r="C20" i="10"/>
  <c r="K24" i="4" s="1"/>
  <c r="R24" i="4" l="1"/>
  <c r="Q24" i="4"/>
  <c r="C12" i="10"/>
  <c r="C10" i="10"/>
  <c r="C13" i="10" l="1"/>
  <c r="K23" i="4" s="1"/>
  <c r="C5" i="10"/>
  <c r="C6" i="10" s="1"/>
  <c r="K39" i="4" s="1"/>
  <c r="R23" i="4" l="1"/>
  <c r="L23" i="4"/>
  <c r="P23" i="4" s="1"/>
  <c r="Q23" i="4"/>
  <c r="R39" i="4"/>
  <c r="L39" i="4"/>
  <c r="P39" i="4" s="1"/>
  <c r="Q39" i="4"/>
  <c r="K42" i="4"/>
  <c r="R42" i="4" l="1"/>
  <c r="L42" i="4"/>
  <c r="P42" i="4" s="1"/>
  <c r="K45" i="4"/>
  <c r="Q42" i="4"/>
  <c r="Q45" i="4" l="1"/>
  <c r="L45" i="4"/>
  <c r="P45" i="4" s="1"/>
</calcChain>
</file>

<file path=xl/sharedStrings.xml><?xml version="1.0" encoding="utf-8"?>
<sst xmlns="http://schemas.openxmlformats.org/spreadsheetml/2006/main" count="525" uniqueCount="372">
  <si>
    <t>Total Activos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</si>
  <si>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</si>
  <si>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</si>
  <si>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</si>
  <si>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</si>
  <si>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</si>
  <si>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</si>
  <si>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</si>
  <si>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</si>
  <si>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</si>
  <si>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</si>
  <si>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</si>
  <si>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</si>
  <si>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</si>
  <si>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</si>
  <si>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</si>
  <si>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</si>
  <si>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</si>
  <si>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</si>
  <si>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</si>
  <si>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</si>
  <si>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</si>
  <si>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</si>
  <si>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</si>
  <si>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</si>
  <si>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</si>
  <si>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</si>
  <si>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</si>
  <si>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</si>
  <si>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</si>
  <si>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</si>
  <si>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</si>
  <si>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</si>
  <si>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</si>
  <si>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</si>
  <si>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</si>
  <si>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</si>
  <si>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</si>
  <si>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</si>
  <si>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</si>
  <si>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</si>
  <si>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</si>
  <si>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</si>
  <si>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</si>
  <si>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</si>
  <si>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</si>
  <si>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</si>
  <si>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</si>
  <si>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</si>
  <si>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</si>
  <si>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</si>
  <si>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</si>
  <si>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</si>
  <si>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</si>
  <si>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</si>
  <si>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</si>
  <si>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</si>
  <si>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</si>
  <si>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</si>
  <si>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</si>
  <si>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</si>
  <si>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</si>
  <si>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</si>
  <si>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</si>
  <si>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</si>
  <si>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</si>
  <si>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MM$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</si>
  <si>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</si>
  <si>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</si>
  <si>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</si>
  <si>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</si>
  <si>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</si>
  <si>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</si>
  <si>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</si>
  <si>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</si>
  <si>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</si>
  <si>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</si>
  <si>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</si>
  <si>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</si>
  <si>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</si>
  <si>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</si>
  <si>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</si>
  <si>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</si>
  <si>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</si>
  <si>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</si>
  <si>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</si>
  <si>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</si>
  <si>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</si>
  <si>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</si>
  <si>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</si>
  <si>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</si>
  <si>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</si>
  <si>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</si>
  <si>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</si>
  <si>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</si>
  <si>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</si>
  <si>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</si>
  <si>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</si>
  <si>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</si>
  <si>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</si>
  <si>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Acum Junio 2010</t>
  </si>
  <si>
    <t>Ingresos  de actividades ordinarias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</si>
  <si>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</si>
  <si>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</si>
  <si>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</si>
  <si>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</si>
  <si>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</si>
  <si>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</si>
  <si>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</si>
  <si>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</si>
  <si>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</si>
  <si>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</si>
  <si>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</si>
  <si>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</si>
  <si>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</si>
  <si>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</si>
  <si>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</si>
  <si>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</si>
  <si>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</si>
  <si>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</si>
  <si>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</si>
  <si>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</si>
  <si>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</si>
  <si>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</si>
  <si>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</si>
  <si>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</si>
  <si>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</si>
  <si>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</si>
  <si>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</si>
  <si>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</si>
  <si>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</si>
  <si>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</si>
  <si>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</si>
  <si>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</si>
  <si>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</si>
  <si>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</si>
  <si>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</si>
  <si>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</si>
  <si>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</si>
  <si>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</si>
  <si>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</si>
  <si>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</si>
  <si>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</si>
  <si>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Provisiones  por beneficio a los empleados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</si>
  <si>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</si>
  <si>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</si>
  <si>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</si>
  <si>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</si>
  <si>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</si>
  <si>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</si>
  <si>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</si>
  <si>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</si>
  <si>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</si>
  <si>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</si>
  <si>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</si>
  <si>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</si>
  <si>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</si>
  <si>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</si>
  <si>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</si>
  <si>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</si>
  <si>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</si>
  <si>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</si>
  <si>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</si>
  <si>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</si>
  <si>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</si>
  <si>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</si>
  <si>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</si>
  <si>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</si>
  <si>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</si>
  <si>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</si>
  <si>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</si>
  <si>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</si>
  <si>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</si>
  <si>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</si>
  <si>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</si>
  <si>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</si>
  <si>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</si>
  <si>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</si>
  <si>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</si>
  <si>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FLUJO DE EFECTIVO DIRECTO</t>
  </si>
  <si>
    <t>NOTA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</si>
  <si>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</si>
  <si>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</si>
  <si>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</si>
  <si>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</si>
  <si>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</si>
  <si>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</si>
  <si>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</si>
  <si>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</si>
  <si>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</si>
  <si>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</si>
  <si>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</si>
  <si>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</si>
  <si>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</si>
  <si>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</si>
  <si>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</si>
  <si>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</si>
  <si>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</si>
  <si>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</si>
  <si>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</si>
  <si>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</si>
  <si>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</si>
  <si>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</si>
  <si>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</si>
  <si>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</si>
  <si>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</si>
  <si>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</si>
  <si>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</si>
  <si>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</si>
  <si>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</si>
  <si>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</si>
  <si>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</si>
  <si>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</si>
  <si>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</si>
  <si>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</si>
  <si>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</si>
  <si>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</si>
  <si>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</si>
  <si>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</si>
  <si>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</si>
  <si>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</si>
  <si>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</si>
  <si>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</si>
  <si>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</si>
  <si>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</si>
  <si>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</si>
  <si>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</si>
  <si>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</si>
  <si>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</si>
  <si>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</si>
  <si>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</si>
  <si>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</si>
  <si>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</si>
  <si>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</si>
  <si>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EcoRiles S.A.</t>
  </si>
  <si>
    <t>11-13</t>
  </si>
  <si>
    <t>7</t>
  </si>
  <si>
    <t>Diciembre 2012</t>
  </si>
  <si>
    <t>Aguas del Maipo S.A.</t>
  </si>
  <si>
    <t>Mes de pago: abril 13</t>
  </si>
  <si>
    <t>Mes de pago: nov 13</t>
  </si>
  <si>
    <t>Aguas Andinas Consolidado</t>
  </si>
  <si>
    <t>Análisis Razonado</t>
  </si>
  <si>
    <t>RESULTADO POR NATURALEZA</t>
  </si>
  <si>
    <t>Aguas Andinas S.A.:</t>
  </si>
  <si>
    <t>Grupo 2                       </t>
  </si>
  <si>
    <t>Aguas Manquehue S.A.:</t>
  </si>
  <si>
    <t>Essal S.A.:</t>
  </si>
  <si>
    <t xml:space="preserve">Grupo 1                         </t>
  </si>
  <si>
    <t xml:space="preserve">Rinconada de Maipú       </t>
  </si>
  <si>
    <t>Santa María                  </t>
  </si>
  <si>
    <t xml:space="preserve">Chicureo                        </t>
  </si>
  <si>
    <t>Chamisero                     </t>
  </si>
  <si>
    <t>Julio 2012</t>
  </si>
  <si>
    <t>Valle Grande 3               </t>
  </si>
  <si>
    <t>Grupo 1                         </t>
  </si>
  <si>
    <t>Grupo 2                         </t>
  </si>
  <si>
    <t>Grupo 3                         </t>
  </si>
  <si>
    <t>Chinquihue                   </t>
  </si>
  <si>
    <t xml:space="preserve">Los Alerces                   </t>
  </si>
  <si>
    <t>Julio 2013</t>
  </si>
  <si>
    <t>Abril 2013</t>
  </si>
  <si>
    <t>Diciembre 2013</t>
  </si>
  <si>
    <t>Dic. 13</t>
  </si>
  <si>
    <t>% Var.</t>
  </si>
  <si>
    <t>EBITDA</t>
  </si>
  <si>
    <t>Variación</t>
  </si>
  <si>
    <t>Total</t>
  </si>
  <si>
    <t>(MM$)</t>
  </si>
  <si>
    <t>Var. %</t>
  </si>
  <si>
    <t xml:space="preserve">Gestión y Servicios S.A. </t>
  </si>
  <si>
    <t>Anam S.A.</t>
  </si>
  <si>
    <t> Total</t>
  </si>
  <si>
    <t>UF</t>
  </si>
  <si>
    <t>Aguas Cordillera S.A.:</t>
  </si>
  <si>
    <t>Septiembre 2013</t>
  </si>
  <si>
    <t>Agosto 2013</t>
  </si>
  <si>
    <t>Análisis de Ingresos</t>
  </si>
  <si>
    <t>IAS</t>
  </si>
  <si>
    <t>Marzo 2013</t>
  </si>
  <si>
    <t>Variable</t>
  </si>
  <si>
    <t>Dic 12 - Dic 13</t>
  </si>
  <si>
    <t>Ejercicio 2013</t>
  </si>
  <si>
    <t>2014 - 2013</t>
  </si>
  <si>
    <t>M</t>
  </si>
  <si>
    <t xml:space="preserve">  </t>
  </si>
  <si>
    <t>MM</t>
  </si>
  <si>
    <t>Jun 13 - Jun 14</t>
  </si>
  <si>
    <t>Mes de pago: abril 14</t>
  </si>
  <si>
    <t>01-07-2014 
30-09-2014</t>
  </si>
  <si>
    <t>01-07-2013 
30-09-2013</t>
  </si>
  <si>
    <t>Acum Septiembre 2013</t>
  </si>
  <si>
    <t>Acum Septiembre 2014</t>
  </si>
  <si>
    <t>Periodo Sept 2013 - Sept 2014</t>
  </si>
  <si>
    <t>Septiembre 2014</t>
  </si>
  <si>
    <t>Sept. 14</t>
  </si>
  <si>
    <t>Sept. 13</t>
  </si>
  <si>
    <t>3T14</t>
  </si>
  <si>
    <t>3T13</t>
  </si>
  <si>
    <t>3T14 / 3T13</t>
  </si>
  <si>
    <t>Jun. 14</t>
  </si>
  <si>
    <t>Results</t>
  </si>
  <si>
    <t xml:space="preserve">Income  Statement </t>
  </si>
  <si>
    <t>(Ch$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</si>
  <si>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</si>
  <si>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</si>
  <si>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</si>
  <si>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</si>
  <si>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</si>
  <si>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</si>
  <si>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</si>
  <si>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</si>
  <si>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</si>
  <si>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</si>
  <si>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</si>
  <si>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</si>
  <si>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</si>
  <si>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</si>
  <si>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Interconnections*</t>
  </si>
  <si>
    <t>Customers</t>
  </si>
  <si>
    <t>Non-Sanitary Businesses</t>
  </si>
  <si>
    <t>Non-regulated, non-sanitation products</t>
  </si>
  <si>
    <t>Investment (ChMM$)</t>
  </si>
  <si>
    <t>Network Maintenance</t>
  </si>
  <si>
    <t>Chamisero y Valle Grande Potable Water Works</t>
  </si>
  <si>
    <t>Security Works</t>
  </si>
  <si>
    <t>Difference</t>
  </si>
  <si>
    <t>Sales</t>
  </si>
  <si>
    <t>% of Rev.</t>
  </si>
  <si>
    <t>Ch$ millions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</si>
  <si>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</si>
  <si>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</si>
  <si>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</si>
  <si>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</si>
  <si>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</si>
  <si>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</si>
  <si>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</si>
  <si>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</si>
  <si>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</si>
  <si>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</si>
  <si>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</si>
  <si>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</si>
  <si>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Liquidity</t>
  </si>
  <si>
    <t>Current Ratio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</si>
  <si>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</si>
  <si>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</si>
  <si>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</si>
  <si>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</si>
  <si>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</si>
  <si>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</si>
  <si>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</si>
  <si>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</si>
  <si>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</si>
  <si>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</si>
  <si>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</si>
  <si>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>times</t>
  </si>
  <si>
    <t>Ch$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</si>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</sst>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_-;\-* #,##0_-;_-* &quot;-&quot;??_-;_-@_-"/>
    <numFmt numFmtId="168" formatCode="#,##0;[Red]\(#,##0\)"/>
    <numFmt numFmtId="169" formatCode="##,##0.00;[Red]\(##,##0.00\)"/>
    <numFmt numFmtId="170" formatCode="#,##0.000;[Red]\(#,##0.000\)"/>
    <numFmt numFmtId="171" formatCode="#,##0.00;[Red]\(#,##0.00\)"/>
    <numFmt numFmtId="172" formatCode="#,##0.00;[Red]#,##0.00"/>
    <numFmt numFmtId="173" formatCode="#,##0.0;[Red]\(#,##0.0\)"/>
    <numFmt numFmtId="174" formatCode="_-* #,##0\ _P_t_s_-;\-* #,##0\ _P_t_s_-;_-* &quot;-&quot;??\ _P_t_s_-;_-@_-"/>
    <numFmt numFmtId="175" formatCode="_-* #,##0.000_-;\-* #,##0.000_-;_-* &quot;-&quot;??_-;_-@_-"/>
    <numFmt numFmtId="176" formatCode="_-* #,##0.000000_-;\-* #,##0.000000_-;_-* &quot;-&quot;??????_-;_-@_-"/>
    <numFmt numFmtId="177" formatCode="_-* #,##0.0000_-;\-* #,##0.0000_-;_-* &quot;-&quot;??_-;_-@_-"/>
    <numFmt numFmtId="178" formatCode="_-* #,##0.000\ _P_t_s_-;\-* #,##0.000\ _P_t_s_-;_-* &quot;-&quot;??\ _P_t_s_-;_-@_-"/>
    <numFmt numFmtId="179" formatCode="_-* #,##0.0000\ _P_t_s_-;\-* #,##0.0000\ _P_t_s_-;_-* &quot;-&quot;??\ _P_t_s_-;_-@_-"/>
    <numFmt numFmtId="180" formatCode="0.00000"/>
    <numFmt numFmtId="181" formatCode="0.0000"/>
    <numFmt numFmtId="182" formatCode="0.000"/>
    <numFmt numFmtId="183" formatCode="_-* #,##0.000_-;\-* #,##0.000_-;_-* &quot;-&quot;???_-;_-@_-"/>
    <numFmt numFmtId="184" formatCode="##,##0;\(##,##0\)"/>
    <numFmt numFmtId="185" formatCode="0.0000%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</numFmts>
  <fonts count="99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8"/>
      <color theme="0"/>
      <name val="Arial"/>
      <family val="2"/>
    </font>
    <font>
      <sz val="10"/>
      <color rgb="FFFF0000"/>
      <name val="Tahoma"/>
      <family val="2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6"/>
      <name val="Tahoma"/>
      <family val="2"/>
    </font>
    <font>
      <b/>
      <sz val="8"/>
      <name val="Tahoma"/>
      <family val="2"/>
    </font>
    <font>
      <sz val="8"/>
      <name val="Verdana"/>
      <family val="2"/>
    </font>
    <font>
      <sz val="8"/>
      <color indexed="20"/>
      <name val="Arial"/>
      <family val="2"/>
    </font>
    <font>
      <b/>
      <sz val="8"/>
      <color theme="0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sz val="10"/>
      <name val="Times New Roman"/>
      <family val="1"/>
    </font>
    <font>
      <sz val="8"/>
      <color rgb="FF7030A0"/>
      <name val="Arial"/>
      <family val="2"/>
    </font>
    <font>
      <b/>
      <u/>
      <sz val="9"/>
      <color rgb="FF002060"/>
      <name val="Arial"/>
      <family val="2"/>
    </font>
    <font>
      <sz val="9"/>
      <name val="Tahoma"/>
      <family val="2"/>
    </font>
    <font>
      <sz val="9"/>
      <color rgb="FF002060"/>
      <name val="Calibri"/>
      <family val="2"/>
    </font>
    <font>
      <sz val="11"/>
      <name val="Calibri"/>
      <family val="2"/>
    </font>
    <font>
      <b/>
      <u/>
      <sz val="10"/>
      <color rgb="FF002060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5" fillId="9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5" fillId="10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5" fillId="11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5" fillId="12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5" fillId="3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5" fillId="9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5" fillId="16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5" fillId="1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5" fillId="15" borderId="0" applyNumberFormat="0" applyBorder="0" applyAlignment="0" applyProtection="0"/>
    <xf numFmtId="0" fontId="64" fillId="85" borderId="0" applyNumberFormat="0" applyBorder="0" applyAlignment="0" applyProtection="0"/>
    <xf numFmtId="0" fontId="65" fillId="85" borderId="0" applyNumberFormat="0" applyBorder="0" applyAlignment="0" applyProtection="0"/>
    <xf numFmtId="0" fontId="5" fillId="7" borderId="0" applyNumberFormat="0" applyBorder="0" applyAlignment="0" applyProtection="0"/>
    <xf numFmtId="0" fontId="64" fillId="86" borderId="0" applyNumberFormat="0" applyBorder="0" applyAlignment="0" applyProtection="0"/>
    <xf numFmtId="0" fontId="65" fillId="86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6" fillId="87" borderId="0" applyNumberFormat="0" applyBorder="0" applyAlignment="0" applyProtection="0"/>
    <xf numFmtId="0" fontId="6" fillId="9" borderId="0" applyNumberFormat="0" applyBorder="0" applyAlignment="0" applyProtection="0"/>
    <xf numFmtId="0" fontId="66" fillId="88" borderId="0" applyNumberFormat="0" applyBorder="0" applyAlignment="0" applyProtection="0"/>
    <xf numFmtId="0" fontId="6" fillId="16" borderId="0" applyNumberFormat="0" applyBorder="0" applyAlignment="0" applyProtection="0"/>
    <xf numFmtId="0" fontId="66" fillId="89" borderId="0" applyNumberFormat="0" applyBorder="0" applyAlignment="0" applyProtection="0"/>
    <xf numFmtId="0" fontId="6" fillId="17" borderId="0" applyNumberFormat="0" applyBorder="0" applyAlignment="0" applyProtection="0"/>
    <xf numFmtId="0" fontId="66" fillId="90" borderId="0" applyNumberFormat="0" applyBorder="0" applyAlignment="0" applyProtection="0"/>
    <xf numFmtId="0" fontId="6" fillId="15" borderId="0" applyNumberFormat="0" applyBorder="0" applyAlignment="0" applyProtection="0"/>
    <xf numFmtId="0" fontId="66" fillId="91" borderId="0" applyNumberFormat="0" applyBorder="0" applyAlignment="0" applyProtection="0"/>
    <xf numFmtId="0" fontId="6" fillId="7" borderId="0" applyNumberFormat="0" applyBorder="0" applyAlignment="0" applyProtection="0"/>
    <xf numFmtId="0" fontId="66" fillId="92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5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7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" fillId="0" borderId="0"/>
    <xf numFmtId="0" fontId="4" fillId="0" borderId="0"/>
    <xf numFmtId="0" fontId="53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3" borderId="4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1" fillId="15" borderId="17" applyBorder="0"/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</cellStyleXfs>
  <cellXfs count="412">
    <xf numFmtId="0" fontId="0" fillId="0" borderId="0" xfId="0"/>
    <xf numFmtId="0" fontId="33" fillId="0" borderId="0" xfId="0" applyFont="1"/>
    <xf numFmtId="184" fontId="33" fillId="0" borderId="0" xfId="0" applyNumberFormat="1" applyFont="1"/>
    <xf numFmtId="3" fontId="33" fillId="0" borderId="0" xfId="0" applyNumberFormat="1" applyFont="1"/>
    <xf numFmtId="0" fontId="33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25" xfId="0" applyFont="1" applyBorder="1"/>
    <xf numFmtId="3" fontId="3" fillId="0" borderId="25" xfId="0" applyNumberFormat="1" applyFont="1" applyBorder="1"/>
    <xf numFmtId="3" fontId="31" fillId="0" borderId="0" xfId="0" applyNumberFormat="1" applyFont="1"/>
    <xf numFmtId="0" fontId="69" fillId="0" borderId="0" xfId="0" applyFont="1"/>
    <xf numFmtId="0" fontId="33" fillId="0" borderId="0" xfId="903" applyFont="1" applyFill="1" applyBorder="1"/>
    <xf numFmtId="3" fontId="33" fillId="0" borderId="0" xfId="903" applyNumberFormat="1" applyFont="1" applyFill="1" applyBorder="1"/>
    <xf numFmtId="0" fontId="32" fillId="0" borderId="0" xfId="903" applyFont="1" applyFill="1" applyBorder="1"/>
    <xf numFmtId="3" fontId="33" fillId="0" borderId="29" xfId="903" applyNumberFormat="1" applyFont="1" applyFill="1" applyBorder="1" applyAlignment="1">
      <alignment vertical="center"/>
    </xf>
    <xf numFmtId="3" fontId="32" fillId="73" borderId="29" xfId="903" applyNumberFormat="1" applyFont="1" applyFill="1" applyBorder="1" applyAlignment="1">
      <alignment vertical="center"/>
    </xf>
    <xf numFmtId="0" fontId="32" fillId="0" borderId="0" xfId="903" applyFont="1" applyFill="1" applyBorder="1" applyAlignment="1">
      <alignment horizontal="center" vertical="center"/>
    </xf>
    <xf numFmtId="3" fontId="32" fillId="0" borderId="29" xfId="903" applyNumberFormat="1" applyFont="1" applyFill="1" applyBorder="1" applyAlignment="1">
      <alignment vertical="center"/>
    </xf>
    <xf numFmtId="0" fontId="33" fillId="0" borderId="0" xfId="903" applyFont="1" applyAlignment="1"/>
    <xf numFmtId="0" fontId="32" fillId="74" borderId="26" xfId="71" applyFont="1" applyFill="1" applyBorder="1" applyAlignment="1">
      <alignment vertical="center" wrapText="1"/>
    </xf>
    <xf numFmtId="0" fontId="33" fillId="0" borderId="0" xfId="903" applyFont="1" applyAlignment="1">
      <alignment horizontal="center"/>
    </xf>
    <xf numFmtId="3" fontId="33" fillId="0" borderId="0" xfId="903" applyNumberFormat="1" applyFont="1" applyAlignment="1"/>
    <xf numFmtId="0" fontId="33" fillId="0" borderId="0" xfId="903" applyFont="1" applyFill="1" applyAlignment="1"/>
    <xf numFmtId="3" fontId="33" fillId="0" borderId="31" xfId="903" applyNumberFormat="1" applyFont="1" applyFill="1" applyBorder="1" applyAlignment="1">
      <alignment horizontal="center" vertical="center"/>
    </xf>
    <xf numFmtId="0" fontId="32" fillId="0" borderId="33" xfId="903" applyFont="1" applyFill="1" applyBorder="1" applyAlignment="1">
      <alignment horizontal="center" vertical="center"/>
    </xf>
    <xf numFmtId="0" fontId="32" fillId="0" borderId="34" xfId="903" applyFont="1" applyFill="1" applyBorder="1" applyAlignment="1">
      <alignment horizontal="left" vertical="center"/>
    </xf>
    <xf numFmtId="0" fontId="30" fillId="0" borderId="0" xfId="903" applyFont="1"/>
    <xf numFmtId="0" fontId="4" fillId="0" borderId="0" xfId="903" applyFont="1" applyAlignment="1">
      <alignment horizontal="center"/>
    </xf>
    <xf numFmtId="0" fontId="4" fillId="0" borderId="0" xfId="903" applyFont="1"/>
    <xf numFmtId="0" fontId="4" fillId="0" borderId="0" xfId="903" applyFont="1" applyAlignment="1">
      <alignment wrapText="1"/>
    </xf>
    <xf numFmtId="0" fontId="4" fillId="0" borderId="35" xfId="903" applyFont="1" applyBorder="1" applyAlignment="1">
      <alignment wrapText="1"/>
    </xf>
    <xf numFmtId="3" fontId="4" fillId="0" borderId="0" xfId="903" applyNumberFormat="1" applyFont="1"/>
    <xf numFmtId="0" fontId="63" fillId="0" borderId="0" xfId="903" applyFont="1" applyFill="1"/>
    <xf numFmtId="0" fontId="33" fillId="0" borderId="0" xfId="0" applyFont="1" applyAlignment="1"/>
    <xf numFmtId="0" fontId="4" fillId="0" borderId="0" xfId="903" applyFont="1" applyFill="1"/>
    <xf numFmtId="3" fontId="4" fillId="0" borderId="0" xfId="903" applyNumberFormat="1" applyFont="1" applyFill="1"/>
    <xf numFmtId="17" fontId="31" fillId="0" borderId="0" xfId="0" applyNumberFormat="1" applyFont="1" applyAlignment="1">
      <alignment horizontal="center"/>
    </xf>
    <xf numFmtId="0" fontId="4" fillId="0" borderId="0" xfId="903" applyFont="1" applyFill="1" applyAlignment="1">
      <alignment horizontal="center"/>
    </xf>
    <xf numFmtId="189" fontId="72" fillId="73" borderId="27" xfId="0" applyNumberFormat="1" applyFont="1" applyFill="1" applyBorder="1" applyAlignment="1">
      <alignment horizontal="center" vertical="center"/>
    </xf>
    <xf numFmtId="190" fontId="72" fillId="73" borderId="28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left" vertical="center" indent="1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 indent="2"/>
    </xf>
    <xf numFmtId="3" fontId="73" fillId="0" borderId="0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center" indent="3"/>
    </xf>
    <xf numFmtId="0" fontId="73" fillId="0" borderId="29" xfId="0" applyFont="1" applyFill="1" applyBorder="1" applyAlignment="1">
      <alignment horizontal="center" vertical="center"/>
    </xf>
    <xf numFmtId="3" fontId="73" fillId="0" borderId="29" xfId="0" applyNumberFormat="1" applyFont="1" applyFill="1" applyBorder="1" applyAlignment="1">
      <alignment vertical="center"/>
    </xf>
    <xf numFmtId="0" fontId="72" fillId="73" borderId="29" xfId="0" applyFont="1" applyFill="1" applyBorder="1" applyAlignment="1">
      <alignment horizontal="left" vertical="justify" indent="2"/>
    </xf>
    <xf numFmtId="0" fontId="72" fillId="73" borderId="29" xfId="0" applyFont="1" applyFill="1" applyBorder="1" applyAlignment="1">
      <alignment horizontal="center" vertical="center"/>
    </xf>
    <xf numFmtId="3" fontId="72" fillId="73" borderId="29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justify" indent="3"/>
    </xf>
    <xf numFmtId="0" fontId="72" fillId="73" borderId="29" xfId="0" applyFont="1" applyFill="1" applyBorder="1" applyAlignment="1">
      <alignment horizontal="left" vertical="center" indent="2"/>
    </xf>
    <xf numFmtId="0" fontId="72" fillId="73" borderId="29" xfId="0" applyFont="1" applyFill="1" applyBorder="1" applyAlignment="1">
      <alignment horizontal="left" vertical="center" indent="3"/>
    </xf>
    <xf numFmtId="0" fontId="72" fillId="0" borderId="0" xfId="0" applyFont="1" applyFill="1" applyBorder="1" applyAlignment="1">
      <alignment horizontal="left" vertical="center" indent="3"/>
    </xf>
    <xf numFmtId="3" fontId="72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indent="2"/>
    </xf>
    <xf numFmtId="0" fontId="73" fillId="0" borderId="0" xfId="0" applyFont="1" applyFill="1" applyBorder="1" applyAlignment="1">
      <alignment horizontal="left" vertical="center" indent="3"/>
    </xf>
    <xf numFmtId="0" fontId="72" fillId="0" borderId="29" xfId="0" applyFont="1" applyFill="1" applyBorder="1" applyAlignment="1">
      <alignment horizontal="left" vertical="center" wrapText="1" indent="3"/>
    </xf>
    <xf numFmtId="3" fontId="72" fillId="0" borderId="29" xfId="0" applyNumberFormat="1" applyFont="1" applyFill="1" applyBorder="1" applyAlignment="1">
      <alignment vertical="center"/>
    </xf>
    <xf numFmtId="0" fontId="72" fillId="0" borderId="29" xfId="0" applyFont="1" applyFill="1" applyBorder="1" applyAlignment="1">
      <alignment horizontal="left" vertical="center" indent="3"/>
    </xf>
    <xf numFmtId="0" fontId="73" fillId="73" borderId="29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3" fontId="73" fillId="0" borderId="29" xfId="0" quotePrefix="1" applyNumberFormat="1" applyFont="1" applyFill="1" applyBorder="1" applyAlignment="1">
      <alignment horizontal="center" vertical="center"/>
    </xf>
    <xf numFmtId="0" fontId="72" fillId="73" borderId="29" xfId="0" applyFont="1" applyFill="1" applyBorder="1" applyAlignment="1">
      <alignment horizontal="left" indent="2"/>
    </xf>
    <xf numFmtId="3" fontId="72" fillId="73" borderId="29" xfId="0" applyNumberFormat="1" applyFont="1" applyFill="1" applyBorder="1" applyAlignment="1">
      <alignment horizontal="right"/>
    </xf>
    <xf numFmtId="0" fontId="73" fillId="0" borderId="0" xfId="0" applyFont="1" applyFill="1" applyBorder="1" applyAlignment="1">
      <alignment horizontal="left" vertical="center" indent="4"/>
    </xf>
    <xf numFmtId="0" fontId="71" fillId="0" borderId="0" xfId="0" applyFont="1" applyFill="1" applyBorder="1" applyAlignment="1">
      <alignment horizontal="left" vertical="center" indent="1"/>
    </xf>
    <xf numFmtId="0" fontId="71" fillId="0" borderId="0" xfId="0" applyFont="1" applyFill="1" applyBorder="1" applyAlignment="1">
      <alignment horizontal="left" vertical="center" indent="2"/>
    </xf>
    <xf numFmtId="3" fontId="71" fillId="0" borderId="0" xfId="0" applyNumberFormat="1" applyFont="1" applyFill="1" applyBorder="1" applyAlignment="1">
      <alignment vertical="center"/>
    </xf>
    <xf numFmtId="3" fontId="73" fillId="0" borderId="31" xfId="0" applyNumberFormat="1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/>
    </xf>
    <xf numFmtId="0" fontId="72" fillId="0" borderId="37" xfId="0" applyFont="1" applyFill="1" applyBorder="1" applyAlignment="1">
      <alignment horizontal="center" vertical="center"/>
    </xf>
    <xf numFmtId="0" fontId="72" fillId="0" borderId="29" xfId="0" applyFont="1" applyFill="1" applyBorder="1" applyAlignment="1">
      <alignment horizontal="left" vertical="center" wrapText="1"/>
    </xf>
    <xf numFmtId="0" fontId="74" fillId="0" borderId="29" xfId="0" applyFont="1" applyFill="1" applyBorder="1" applyAlignment="1">
      <alignment vertical="center" wrapText="1"/>
    </xf>
    <xf numFmtId="0" fontId="72" fillId="0" borderId="30" xfId="0" applyFont="1" applyFill="1" applyBorder="1" applyAlignment="1">
      <alignment horizontal="left" vertical="center"/>
    </xf>
    <xf numFmtId="0" fontId="72" fillId="0" borderId="34" xfId="0" applyFont="1" applyFill="1" applyBorder="1" applyAlignment="1">
      <alignment horizontal="left" vertical="center"/>
    </xf>
    <xf numFmtId="0" fontId="72" fillId="73" borderId="29" xfId="0" applyFont="1" applyFill="1" applyBorder="1" applyAlignment="1">
      <alignment horizontal="left" vertical="justify" indent="3"/>
    </xf>
    <xf numFmtId="14" fontId="75" fillId="73" borderId="38" xfId="0" applyNumberFormat="1" applyFont="1" applyFill="1" applyBorder="1" applyAlignment="1">
      <alignment horizontal="center" vertical="center"/>
    </xf>
    <xf numFmtId="189" fontId="75" fillId="73" borderId="32" xfId="0" applyNumberFormat="1" applyFont="1" applyFill="1" applyBorder="1" applyAlignment="1">
      <alignment horizontal="center" vertical="center"/>
    </xf>
    <xf numFmtId="0" fontId="75" fillId="73" borderId="34" xfId="0" applyFont="1" applyFill="1" applyBorder="1" applyAlignment="1">
      <alignment horizontal="center" vertical="center"/>
    </xf>
    <xf numFmtId="0" fontId="75" fillId="73" borderId="28" xfId="0" applyFont="1" applyFill="1" applyBorder="1" applyAlignment="1">
      <alignment horizontal="center" vertical="center"/>
    </xf>
    <xf numFmtId="0" fontId="71" fillId="0" borderId="29" xfId="0" applyFont="1" applyFill="1" applyBorder="1" applyAlignment="1">
      <alignment horizontal="left" vertical="center" wrapText="1" indent="1"/>
    </xf>
    <xf numFmtId="0" fontId="71" fillId="0" borderId="29" xfId="0" applyFont="1" applyFill="1" applyBorder="1" applyAlignment="1">
      <alignment horizontal="center" vertical="center" wrapText="1"/>
    </xf>
    <xf numFmtId="3" fontId="71" fillId="0" borderId="29" xfId="0" applyNumberFormat="1" applyFont="1" applyFill="1" applyBorder="1" applyAlignment="1">
      <alignment vertical="center" wrapText="1"/>
    </xf>
    <xf numFmtId="0" fontId="75" fillId="0" borderId="29" xfId="0" applyFont="1" applyFill="1" applyBorder="1" applyAlignment="1">
      <alignment horizontal="center" vertical="center" wrapText="1"/>
    </xf>
    <xf numFmtId="0" fontId="75" fillId="73" borderId="29" xfId="0" applyFont="1" applyFill="1" applyBorder="1" applyAlignment="1">
      <alignment horizontal="left" vertical="center" wrapText="1"/>
    </xf>
    <xf numFmtId="0" fontId="75" fillId="73" borderId="29" xfId="0" applyFont="1" applyFill="1" applyBorder="1" applyAlignment="1">
      <alignment horizontal="center" vertical="center" wrapText="1"/>
    </xf>
    <xf numFmtId="3" fontId="75" fillId="73" borderId="29" xfId="0" applyNumberFormat="1" applyFont="1" applyFill="1" applyBorder="1" applyAlignment="1">
      <alignment vertical="center" wrapText="1"/>
    </xf>
    <xf numFmtId="3" fontId="76" fillId="0" borderId="29" xfId="0" applyNumberFormat="1" applyFont="1" applyFill="1" applyBorder="1" applyAlignment="1">
      <alignment vertical="center" wrapText="1"/>
    </xf>
    <xf numFmtId="0" fontId="71" fillId="0" borderId="29" xfId="0" applyFont="1" applyFill="1" applyBorder="1" applyAlignment="1">
      <alignment horizontal="left" vertical="center" wrapText="1"/>
    </xf>
    <xf numFmtId="0" fontId="71" fillId="0" borderId="29" xfId="0" applyFont="1" applyFill="1" applyBorder="1" applyAlignment="1">
      <alignment horizontal="left" vertical="center" wrapText="1" indent="2"/>
    </xf>
    <xf numFmtId="0" fontId="75" fillId="0" borderId="29" xfId="0" applyFont="1" applyFill="1" applyBorder="1" applyAlignment="1">
      <alignment horizontal="left" vertical="center" wrapText="1" indent="1"/>
    </xf>
    <xf numFmtId="3" fontId="75" fillId="0" borderId="29" xfId="0" applyNumberFormat="1" applyFont="1" applyFill="1" applyBorder="1" applyAlignment="1">
      <alignment vertical="center" wrapText="1"/>
    </xf>
    <xf numFmtId="0" fontId="76" fillId="0" borderId="29" xfId="0" applyFont="1" applyFill="1" applyBorder="1" applyAlignment="1">
      <alignment horizontal="left" vertical="center" wrapText="1"/>
    </xf>
    <xf numFmtId="191" fontId="75" fillId="73" borderId="31" xfId="840" applyNumberFormat="1" applyFont="1" applyFill="1" applyBorder="1" applyAlignment="1">
      <alignment horizontal="center" vertical="center" wrapText="1"/>
    </xf>
    <xf numFmtId="0" fontId="75" fillId="0" borderId="29" xfId="0" applyFont="1" applyFill="1" applyBorder="1" applyAlignment="1">
      <alignment horizontal="left" vertical="center" wrapText="1"/>
    </xf>
    <xf numFmtId="49" fontId="75" fillId="73" borderId="29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7" fillId="0" borderId="0" xfId="0" applyFont="1"/>
    <xf numFmtId="0" fontId="3" fillId="0" borderId="0" xfId="0" applyFont="1" applyBorder="1"/>
    <xf numFmtId="182" fontId="3" fillId="0" borderId="0" xfId="0" applyNumberFormat="1" applyFont="1" applyBorder="1"/>
    <xf numFmtId="176" fontId="3" fillId="0" borderId="0" xfId="0" applyNumberFormat="1" applyFont="1"/>
    <xf numFmtId="168" fontId="3" fillId="0" borderId="0" xfId="0" applyNumberFormat="1" applyFont="1" applyFill="1"/>
    <xf numFmtId="0" fontId="77" fillId="0" borderId="0" xfId="0" applyFont="1" applyFill="1" applyBorder="1"/>
    <xf numFmtId="0" fontId="3" fillId="0" borderId="0" xfId="0" applyFont="1" applyFill="1" applyBorder="1"/>
    <xf numFmtId="167" fontId="3" fillId="0" borderId="0" xfId="836" quotePrefix="1" applyNumberFormat="1" applyFont="1" applyBorder="1" applyAlignment="1">
      <alignment horizontal="center"/>
    </xf>
    <xf numFmtId="0" fontId="78" fillId="94" borderId="43" xfId="0" applyFont="1" applyFill="1" applyBorder="1"/>
    <xf numFmtId="0" fontId="69" fillId="94" borderId="44" xfId="0" applyFont="1" applyFill="1" applyBorder="1"/>
    <xf numFmtId="49" fontId="78" fillId="94" borderId="44" xfId="836" applyNumberFormat="1" applyFont="1" applyFill="1" applyBorder="1" applyAlignment="1">
      <alignment horizontal="center"/>
    </xf>
    <xf numFmtId="49" fontId="78" fillId="94" borderId="45" xfId="836" applyNumberFormat="1" applyFont="1" applyFill="1" applyBorder="1" applyAlignment="1">
      <alignment horizontal="center"/>
    </xf>
    <xf numFmtId="49" fontId="31" fillId="0" borderId="0" xfId="836" quotePrefix="1" applyNumberFormat="1" applyFont="1" applyFill="1" applyBorder="1" applyAlignment="1">
      <alignment horizontal="center"/>
    </xf>
    <xf numFmtId="167" fontId="31" fillId="0" borderId="0" xfId="836" quotePrefix="1" applyNumberFormat="1" applyFont="1" applyFill="1" applyAlignment="1">
      <alignment horizontal="center"/>
    </xf>
    <xf numFmtId="167" fontId="31" fillId="0" borderId="0" xfId="836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1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1" fillId="0" borderId="24" xfId="0" applyFont="1" applyBorder="1"/>
    <xf numFmtId="168" fontId="3" fillId="0" borderId="0" xfId="0" applyNumberFormat="1" applyFont="1"/>
    <xf numFmtId="181" fontId="77" fillId="0" borderId="0" xfId="0" applyNumberFormat="1" applyFont="1" applyFill="1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167" fontId="3" fillId="0" borderId="47" xfId="836" applyNumberFormat="1" applyFont="1" applyBorder="1"/>
    <xf numFmtId="167" fontId="3" fillId="0" borderId="48" xfId="836" applyNumberFormat="1" applyFont="1" applyBorder="1"/>
    <xf numFmtId="167" fontId="3" fillId="0" borderId="0" xfId="836" applyNumberFormat="1" applyFont="1" applyFill="1" applyBorder="1"/>
    <xf numFmtId="177" fontId="3" fillId="0" borderId="0" xfId="836" applyNumberFormat="1" applyFont="1"/>
    <xf numFmtId="168" fontId="3" fillId="0" borderId="25" xfId="0" applyNumberFormat="1" applyFont="1" applyBorder="1"/>
    <xf numFmtId="2" fontId="79" fillId="0" borderId="0" xfId="0" applyNumberFormat="1" applyFont="1" applyFill="1"/>
    <xf numFmtId="2" fontId="31" fillId="0" borderId="0" xfId="0" applyNumberFormat="1" applyFont="1" applyFill="1" applyBorder="1"/>
    <xf numFmtId="10" fontId="3" fillId="0" borderId="0" xfId="950" applyNumberFormat="1" applyFont="1"/>
    <xf numFmtId="186" fontId="77" fillId="0" borderId="0" xfId="950" applyNumberFormat="1" applyFont="1" applyFill="1" applyBorder="1"/>
    <xf numFmtId="0" fontId="78" fillId="94" borderId="46" xfId="0" applyFont="1" applyFill="1" applyBorder="1"/>
    <xf numFmtId="0" fontId="69" fillId="94" borderId="47" xfId="0" applyFont="1" applyFill="1" applyBorder="1"/>
    <xf numFmtId="167" fontId="78" fillId="94" borderId="47" xfId="836" applyNumberFormat="1" applyFont="1" applyFill="1" applyBorder="1"/>
    <xf numFmtId="167" fontId="78" fillId="94" borderId="48" xfId="836" applyNumberFormat="1" applyFont="1" applyFill="1" applyBorder="1"/>
    <xf numFmtId="167" fontId="31" fillId="0" borderId="0" xfId="836" applyNumberFormat="1" applyFont="1" applyFill="1" applyBorder="1"/>
    <xf numFmtId="167" fontId="3" fillId="0" borderId="0" xfId="836" applyNumberFormat="1" applyFont="1"/>
    <xf numFmtId="0" fontId="31" fillId="0" borderId="0" xfId="0" applyFont="1" applyFill="1" applyBorder="1"/>
    <xf numFmtId="167" fontId="31" fillId="0" borderId="0" xfId="836" applyNumberFormat="1" applyFont="1"/>
    <xf numFmtId="0" fontId="3" fillId="0" borderId="25" xfId="0" applyFont="1" applyFill="1" applyBorder="1"/>
    <xf numFmtId="0" fontId="78" fillId="94" borderId="49" xfId="0" applyFont="1" applyFill="1" applyBorder="1"/>
    <xf numFmtId="0" fontId="69" fillId="94" borderId="50" xfId="0" applyFont="1" applyFill="1" applyBorder="1"/>
    <xf numFmtId="167" fontId="78" fillId="94" borderId="50" xfId="836" applyNumberFormat="1" applyFont="1" applyFill="1" applyBorder="1"/>
    <xf numFmtId="167" fontId="78" fillId="94" borderId="51" xfId="836" applyNumberFormat="1" applyFont="1" applyFill="1" applyBorder="1"/>
    <xf numFmtId="2" fontId="79" fillId="0" borderId="0" xfId="950" applyNumberFormat="1" applyFont="1" applyFill="1"/>
    <xf numFmtId="10" fontId="31" fillId="0" borderId="0" xfId="0" applyNumberFormat="1" applyFont="1" applyFill="1" applyBorder="1"/>
    <xf numFmtId="0" fontId="3" fillId="0" borderId="52" xfId="0" applyFont="1" applyBorder="1"/>
    <xf numFmtId="167" fontId="3" fillId="0" borderId="0" xfId="836" applyNumberFormat="1" applyFont="1" applyBorder="1"/>
    <xf numFmtId="49" fontId="78" fillId="94" borderId="44" xfId="836" quotePrefix="1" applyNumberFormat="1" applyFont="1" applyFill="1" applyBorder="1" applyAlignment="1">
      <alignment horizontal="center"/>
    </xf>
    <xf numFmtId="0" fontId="31" fillId="0" borderId="46" xfId="0" applyFont="1" applyFill="1" applyBorder="1"/>
    <xf numFmtId="0" fontId="31" fillId="0" borderId="47" xfId="0" applyFont="1" applyFill="1" applyBorder="1" applyAlignment="1">
      <alignment horizontal="center"/>
    </xf>
    <xf numFmtId="184" fontId="3" fillId="0" borderId="47" xfId="836" applyNumberFormat="1" applyFont="1" applyFill="1" applyBorder="1"/>
    <xf numFmtId="184" fontId="3" fillId="0" borderId="48" xfId="836" applyNumberFormat="1" applyFont="1" applyFill="1" applyBorder="1"/>
    <xf numFmtId="0" fontId="80" fillId="0" borderId="0" xfId="0" applyFont="1" applyFill="1" applyBorder="1"/>
    <xf numFmtId="0" fontId="3" fillId="0" borderId="46" xfId="0" applyFont="1" applyFill="1" applyBorder="1"/>
    <xf numFmtId="0" fontId="3" fillId="0" borderId="47" xfId="0" applyFont="1" applyFill="1" applyBorder="1" applyAlignment="1">
      <alignment horizontal="center"/>
    </xf>
    <xf numFmtId="167" fontId="77" fillId="0" borderId="0" xfId="0" applyNumberFormat="1" applyFont="1" applyFill="1" applyBorder="1"/>
    <xf numFmtId="168" fontId="3" fillId="0" borderId="0" xfId="0" applyNumberFormat="1" applyFont="1" applyFill="1" applyBorder="1"/>
    <xf numFmtId="184" fontId="31" fillId="0" borderId="47" xfId="836" applyNumberFormat="1" applyFont="1" applyFill="1" applyBorder="1"/>
    <xf numFmtId="184" fontId="31" fillId="0" borderId="48" xfId="836" applyNumberFormat="1" applyFont="1" applyFill="1" applyBorder="1"/>
    <xf numFmtId="174" fontId="77" fillId="0" borderId="0" xfId="836" applyNumberFormat="1" applyFont="1" applyFill="1" applyBorder="1"/>
    <xf numFmtId="168" fontId="3" fillId="0" borderId="25" xfId="0" applyNumberFormat="1" applyFont="1" applyFill="1" applyBorder="1"/>
    <xf numFmtId="169" fontId="31" fillId="0" borderId="0" xfId="0" applyNumberFormat="1" applyFont="1" applyFill="1" applyBorder="1"/>
    <xf numFmtId="171" fontId="3" fillId="0" borderId="0" xfId="0" applyNumberFormat="1" applyFont="1" applyFill="1"/>
    <xf numFmtId="10" fontId="31" fillId="0" borderId="0" xfId="0" applyNumberFormat="1" applyFont="1" applyFill="1"/>
    <xf numFmtId="0" fontId="3" fillId="0" borderId="49" xfId="0" applyFont="1" applyFill="1" applyBorder="1"/>
    <xf numFmtId="0" fontId="3" fillId="0" borderId="50" xfId="0" applyFont="1" applyFill="1" applyBorder="1" applyAlignment="1">
      <alignment horizontal="center"/>
    </xf>
    <xf numFmtId="184" fontId="3" fillId="0" borderId="50" xfId="836" applyNumberFormat="1" applyFont="1" applyFill="1" applyBorder="1"/>
    <xf numFmtId="184" fontId="3" fillId="0" borderId="0" xfId="836" applyNumberFormat="1" applyFont="1" applyBorder="1"/>
    <xf numFmtId="186" fontId="3" fillId="0" borderId="0" xfId="950" applyNumberFormat="1" applyFont="1" applyBorder="1"/>
    <xf numFmtId="174" fontId="3" fillId="0" borderId="0" xfId="836" applyNumberFormat="1" applyFont="1"/>
    <xf numFmtId="167" fontId="78" fillId="94" borderId="44" xfId="836" quotePrefix="1" applyNumberFormat="1" applyFont="1" applyFill="1" applyBorder="1" applyAlignment="1">
      <alignment horizontal="center"/>
    </xf>
    <xf numFmtId="167" fontId="78" fillId="94" borderId="45" xfId="836" quotePrefix="1" applyNumberFormat="1" applyFont="1" applyFill="1" applyBorder="1" applyAlignment="1">
      <alignment horizontal="center"/>
    </xf>
    <xf numFmtId="184" fontId="3" fillId="0" borderId="47" xfId="836" applyNumberFormat="1" applyFont="1" applyBorder="1"/>
    <xf numFmtId="184" fontId="3" fillId="0" borderId="48" xfId="836" applyNumberFormat="1" applyFont="1" applyBorder="1"/>
    <xf numFmtId="180" fontId="3" fillId="0" borderId="0" xfId="0" applyNumberFormat="1" applyFont="1"/>
    <xf numFmtId="185" fontId="3" fillId="0" borderId="0" xfId="950" applyNumberFormat="1" applyFont="1"/>
    <xf numFmtId="172" fontId="31" fillId="0" borderId="0" xfId="0" applyNumberFormat="1" applyFont="1" applyFill="1"/>
    <xf numFmtId="184" fontId="31" fillId="0" borderId="47" xfId="836" applyNumberFormat="1" applyFont="1" applyBorder="1"/>
    <xf numFmtId="184" fontId="31" fillId="0" borderId="48" xfId="836" applyNumberFormat="1" applyFont="1" applyBorder="1"/>
    <xf numFmtId="168" fontId="31" fillId="0" borderId="0" xfId="0" applyNumberFormat="1" applyFont="1"/>
    <xf numFmtId="0" fontId="69" fillId="94" borderId="50" xfId="0" applyFont="1" applyFill="1" applyBorder="1" applyAlignment="1">
      <alignment horizontal="center"/>
    </xf>
    <xf numFmtId="184" fontId="78" fillId="94" borderId="50" xfId="836" applyNumberFormat="1" applyFont="1" applyFill="1" applyBorder="1"/>
    <xf numFmtId="184" fontId="78" fillId="94" borderId="51" xfId="836" applyNumberFormat="1" applyFont="1" applyFill="1" applyBorder="1"/>
    <xf numFmtId="171" fontId="31" fillId="0" borderId="0" xfId="0" applyNumberFormat="1" applyFont="1" applyFill="1" applyBorder="1"/>
    <xf numFmtId="10" fontId="77" fillId="0" borderId="0" xfId="950" applyNumberFormat="1" applyFont="1" applyFill="1" applyBorder="1"/>
    <xf numFmtId="0" fontId="3" fillId="95" borderId="43" xfId="0" applyFont="1" applyFill="1" applyBorder="1"/>
    <xf numFmtId="49" fontId="3" fillId="95" borderId="44" xfId="836" applyNumberFormat="1" applyFont="1" applyFill="1" applyBorder="1" applyAlignment="1">
      <alignment horizontal="left"/>
    </xf>
    <xf numFmtId="167" fontId="3" fillId="95" borderId="45" xfId="836" applyNumberFormat="1" applyFont="1" applyFill="1" applyBorder="1"/>
    <xf numFmtId="0" fontId="3" fillId="95" borderId="46" xfId="0" applyFont="1" applyFill="1" applyBorder="1"/>
    <xf numFmtId="49" fontId="3" fillId="95" borderId="47" xfId="836" applyNumberFormat="1" applyFont="1" applyFill="1" applyBorder="1" applyAlignment="1">
      <alignment horizontal="left"/>
    </xf>
    <xf numFmtId="167" fontId="3" fillId="95" borderId="48" xfId="836" applyNumberFormat="1" applyFont="1" applyFill="1" applyBorder="1"/>
    <xf numFmtId="184" fontId="3" fillId="95" borderId="48" xfId="836" applyNumberFormat="1" applyFont="1" applyFill="1" applyBorder="1"/>
    <xf numFmtId="10" fontId="3" fillId="0" borderId="0" xfId="950" applyNumberFormat="1" applyFont="1" applyFill="1"/>
    <xf numFmtId="0" fontId="3" fillId="95" borderId="49" xfId="0" applyFont="1" applyFill="1" applyBorder="1"/>
    <xf numFmtId="49" fontId="3" fillId="95" borderId="50" xfId="836" applyNumberFormat="1" applyFont="1" applyFill="1" applyBorder="1" applyAlignment="1">
      <alignment horizontal="left"/>
    </xf>
    <xf numFmtId="184" fontId="3" fillId="95" borderId="51" xfId="836" applyNumberFormat="1" applyFont="1" applyFill="1" applyBorder="1"/>
    <xf numFmtId="49" fontId="78" fillId="94" borderId="43" xfId="836" applyNumberFormat="1" applyFont="1" applyFill="1" applyBorder="1" applyAlignment="1">
      <alignment horizontal="left"/>
    </xf>
    <xf numFmtId="10" fontId="77" fillId="0" borderId="0" xfId="0" applyNumberFormat="1" applyFont="1" applyFill="1"/>
    <xf numFmtId="0" fontId="3" fillId="0" borderId="47" xfId="0" applyFont="1" applyFill="1" applyBorder="1"/>
    <xf numFmtId="0" fontId="3" fillId="0" borderId="48" xfId="0" applyFont="1" applyFill="1" applyBorder="1"/>
    <xf numFmtId="167" fontId="3" fillId="0" borderId="0" xfId="0" applyNumberFormat="1" applyFont="1" applyFill="1"/>
    <xf numFmtId="171" fontId="3" fillId="0" borderId="0" xfId="0" applyNumberFormat="1" applyFont="1" applyFill="1" applyBorder="1"/>
    <xf numFmtId="168" fontId="77" fillId="0" borderId="0" xfId="0" applyNumberFormat="1" applyFont="1" applyFill="1"/>
    <xf numFmtId="172" fontId="31" fillId="0" borderId="0" xfId="0" applyNumberFormat="1" applyFont="1" applyFill="1" applyBorder="1"/>
    <xf numFmtId="0" fontId="69" fillId="94" borderId="49" xfId="0" applyFont="1" applyFill="1" applyBorder="1"/>
    <xf numFmtId="181" fontId="78" fillId="94" borderId="50" xfId="0" applyNumberFormat="1" applyFont="1" applyFill="1" applyBorder="1"/>
    <xf numFmtId="181" fontId="78" fillId="94" borderId="51" xfId="0" applyNumberFormat="1" applyFont="1" applyFill="1" applyBorder="1"/>
    <xf numFmtId="181" fontId="31" fillId="0" borderId="0" xfId="0" applyNumberFormat="1" applyFont="1"/>
    <xf numFmtId="167" fontId="3" fillId="0" borderId="0" xfId="828" applyNumberFormat="1" applyFont="1"/>
    <xf numFmtId="174" fontId="3" fillId="0" borderId="0" xfId="836" applyNumberFormat="1" applyFont="1" applyFill="1"/>
    <xf numFmtId="170" fontId="3" fillId="0" borderId="25" xfId="0" applyNumberFormat="1" applyFont="1" applyFill="1" applyBorder="1"/>
    <xf numFmtId="175" fontId="3" fillId="0" borderId="25" xfId="836" applyNumberFormat="1" applyFont="1" applyBorder="1"/>
    <xf numFmtId="170" fontId="3" fillId="0" borderId="0" xfId="0" applyNumberFormat="1" applyFont="1" applyFill="1" applyBorder="1"/>
    <xf numFmtId="183" fontId="3" fillId="0" borderId="0" xfId="0" applyNumberFormat="1" applyFont="1"/>
    <xf numFmtId="10" fontId="81" fillId="0" borderId="0" xfId="0" applyNumberFormat="1" applyFont="1" applyFill="1"/>
    <xf numFmtId="167" fontId="78" fillId="94" borderId="44" xfId="836" quotePrefix="1" applyNumberFormat="1" applyFont="1" applyFill="1" applyBorder="1" applyAlignment="1">
      <alignment horizontal="center" vertical="center"/>
    </xf>
    <xf numFmtId="167" fontId="78" fillId="94" borderId="45" xfId="836" quotePrefix="1" applyNumberFormat="1" applyFont="1" applyFill="1" applyBorder="1" applyAlignment="1">
      <alignment horizontal="center" vertical="center"/>
    </xf>
    <xf numFmtId="188" fontId="3" fillId="0" borderId="47" xfId="0" applyNumberFormat="1" applyFont="1" applyBorder="1" applyAlignment="1">
      <alignment horizontal="right"/>
    </xf>
    <xf numFmtId="188" fontId="3" fillId="0" borderId="48" xfId="0" applyNumberFormat="1" applyFont="1" applyBorder="1" applyAlignment="1">
      <alignment horizontal="right"/>
    </xf>
    <xf numFmtId="188" fontId="3" fillId="0" borderId="0" xfId="0" applyNumberFormat="1" applyFont="1"/>
    <xf numFmtId="0" fontId="82" fillId="0" borderId="0" xfId="0" applyFont="1" applyBorder="1"/>
    <xf numFmtId="0" fontId="54" fillId="0" borderId="0" xfId="0" applyFont="1" applyBorder="1"/>
    <xf numFmtId="168" fontId="54" fillId="0" borderId="0" xfId="0" applyNumberFormat="1" applyFont="1" applyBorder="1"/>
    <xf numFmtId="168" fontId="54" fillId="0" borderId="0" xfId="0" applyNumberFormat="1" applyFont="1" applyFill="1" applyBorder="1"/>
    <xf numFmtId="178" fontId="77" fillId="0" borderId="0" xfId="0" applyNumberFormat="1" applyFont="1" applyFill="1" applyBorder="1"/>
    <xf numFmtId="2" fontId="54" fillId="0" borderId="0" xfId="0" applyNumberFormat="1" applyFont="1" applyFill="1" applyBorder="1"/>
    <xf numFmtId="10" fontId="3" fillId="0" borderId="0" xfId="950" applyNumberFormat="1" applyFont="1" applyBorder="1"/>
    <xf numFmtId="10" fontId="54" fillId="0" borderId="0" xfId="0" applyNumberFormat="1" applyFont="1" applyFill="1" applyBorder="1"/>
    <xf numFmtId="0" fontId="54" fillId="0" borderId="0" xfId="0" quotePrefix="1" applyFont="1" applyBorder="1"/>
    <xf numFmtId="173" fontId="31" fillId="0" borderId="0" xfId="0" applyNumberFormat="1" applyFont="1" applyFill="1" applyBorder="1"/>
    <xf numFmtId="188" fontId="31" fillId="0" borderId="47" xfId="0" applyNumberFormat="1" applyFont="1" applyBorder="1" applyAlignment="1">
      <alignment horizontal="right"/>
    </xf>
    <xf numFmtId="0" fontId="31" fillId="0" borderId="0" xfId="0" applyFont="1" applyBorder="1"/>
    <xf numFmtId="168" fontId="3" fillId="0" borderId="0" xfId="0" applyNumberFormat="1" applyFont="1" applyBorder="1"/>
    <xf numFmtId="179" fontId="3" fillId="0" borderId="0" xfId="0" applyNumberFormat="1" applyFont="1" applyFill="1"/>
    <xf numFmtId="10" fontId="3" fillId="0" borderId="0" xfId="0" applyNumberFormat="1" applyFont="1" applyFill="1"/>
    <xf numFmtId="0" fontId="83" fillId="0" borderId="46" xfId="0" applyFont="1" applyBorder="1"/>
    <xf numFmtId="188" fontId="83" fillId="0" borderId="47" xfId="0" applyNumberFormat="1" applyFont="1" applyBorder="1" applyAlignment="1">
      <alignment horizontal="right"/>
    </xf>
    <xf numFmtId="0" fontId="31" fillId="0" borderId="49" xfId="0" applyFont="1" applyBorder="1"/>
    <xf numFmtId="188" fontId="31" fillId="0" borderId="50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Fill="1"/>
    <xf numFmtId="182" fontId="3" fillId="0" borderId="0" xfId="0" applyNumberFormat="1" applyFont="1" applyFill="1"/>
    <xf numFmtId="186" fontId="3" fillId="0" borderId="0" xfId="950" applyNumberFormat="1" applyFont="1" applyFill="1" applyBorder="1"/>
    <xf numFmtId="0" fontId="84" fillId="0" borderId="24" xfId="0" applyFont="1" applyBorder="1"/>
    <xf numFmtId="0" fontId="85" fillId="0" borderId="0" xfId="0" applyFont="1"/>
    <xf numFmtId="168" fontId="85" fillId="0" borderId="0" xfId="0" applyNumberFormat="1" applyFont="1"/>
    <xf numFmtId="168" fontId="85" fillId="0" borderId="0" xfId="0" applyNumberFormat="1" applyFont="1" applyFill="1"/>
    <xf numFmtId="0" fontId="85" fillId="0" borderId="0" xfId="0" applyFont="1" applyFill="1" applyBorder="1"/>
    <xf numFmtId="167" fontId="85" fillId="0" borderId="0" xfId="836" applyNumberFormat="1" applyFont="1"/>
    <xf numFmtId="187" fontId="85" fillId="0" borderId="0" xfId="0" applyNumberFormat="1" applyFont="1"/>
    <xf numFmtId="168" fontId="85" fillId="0" borderId="0" xfId="0" applyNumberFormat="1" applyFont="1" applyFill="1" applyBorder="1"/>
    <xf numFmtId="0" fontId="85" fillId="0" borderId="0" xfId="0" applyFont="1" applyFill="1"/>
    <xf numFmtId="0" fontId="84" fillId="0" borderId="0" xfId="0" applyFont="1"/>
    <xf numFmtId="168" fontId="84" fillId="0" borderId="0" xfId="0" applyNumberFormat="1" applyFont="1"/>
    <xf numFmtId="2" fontId="85" fillId="0" borderId="0" xfId="0" applyNumberFormat="1" applyFont="1" applyFill="1"/>
    <xf numFmtId="10" fontId="85" fillId="0" borderId="0" xfId="950" applyNumberFormat="1" applyFont="1"/>
    <xf numFmtId="2" fontId="85" fillId="0" borderId="0" xfId="950" applyNumberFormat="1" applyFont="1" applyFill="1"/>
    <xf numFmtId="10" fontId="85" fillId="0" borderId="0" xfId="950" applyNumberFormat="1" applyFont="1" applyFill="1" applyBorder="1"/>
    <xf numFmtId="49" fontId="0" fillId="0" borderId="0" xfId="0" applyNumberFormat="1"/>
    <xf numFmtId="3" fontId="4" fillId="0" borderId="0" xfId="903" applyNumberFormat="1" applyFont="1" applyAlignment="1">
      <alignment wrapText="1"/>
    </xf>
    <xf numFmtId="2" fontId="3" fillId="0" borderId="0" xfId="0" applyNumberFormat="1" applyFont="1"/>
    <xf numFmtId="0" fontId="87" fillId="0" borderId="53" xfId="0" applyFont="1" applyBorder="1"/>
    <xf numFmtId="3" fontId="87" fillId="0" borderId="0" xfId="0" applyNumberFormat="1" applyFont="1" applyAlignment="1">
      <alignment horizontal="right"/>
    </xf>
    <xf numFmtId="0" fontId="86" fillId="0" borderId="0" xfId="0" applyFont="1"/>
    <xf numFmtId="3" fontId="86" fillId="0" borderId="0" xfId="0" applyNumberFormat="1" applyFont="1" applyAlignment="1">
      <alignment horizontal="right"/>
    </xf>
    <xf numFmtId="0" fontId="86" fillId="0" borderId="53" xfId="0" applyFont="1" applyBorder="1"/>
    <xf numFmtId="186" fontId="87" fillId="0" borderId="0" xfId="0" applyNumberFormat="1" applyFont="1" applyAlignment="1">
      <alignment horizontal="center"/>
    </xf>
    <xf numFmtId="186" fontId="86" fillId="0" borderId="0" xfId="0" applyNumberFormat="1" applyFont="1" applyAlignment="1">
      <alignment horizontal="center"/>
    </xf>
    <xf numFmtId="0" fontId="87" fillId="0" borderId="0" xfId="0" applyFont="1" applyAlignment="1">
      <alignment horizontal="center"/>
    </xf>
    <xf numFmtId="10" fontId="87" fillId="0" borderId="0" xfId="0" applyNumberFormat="1" applyFont="1" applyAlignment="1">
      <alignment horizontal="right"/>
    </xf>
    <xf numFmtId="186" fontId="87" fillId="0" borderId="0" xfId="0" applyNumberFormat="1" applyFont="1" applyAlignment="1">
      <alignment horizontal="right"/>
    </xf>
    <xf numFmtId="3" fontId="87" fillId="0" borderId="55" xfId="0" applyNumberFormat="1" applyFont="1" applyBorder="1" applyAlignment="1">
      <alignment horizontal="right"/>
    </xf>
    <xf numFmtId="186" fontId="87" fillId="0" borderId="55" xfId="0" applyNumberFormat="1" applyFont="1" applyBorder="1" applyAlignment="1">
      <alignment horizontal="right"/>
    </xf>
    <xf numFmtId="0" fontId="86" fillId="0" borderId="57" xfId="0" applyFont="1" applyBorder="1" applyAlignment="1">
      <alignment horizontal="center"/>
    </xf>
    <xf numFmtId="0" fontId="87" fillId="0" borderId="0" xfId="0" applyFont="1" applyAlignment="1"/>
    <xf numFmtId="0" fontId="86" fillId="0" borderId="0" xfId="0" applyFont="1" applyAlignment="1"/>
    <xf numFmtId="3" fontId="86" fillId="0" borderId="0" xfId="0" applyNumberFormat="1" applyFont="1" applyAlignment="1"/>
    <xf numFmtId="0" fontId="86" fillId="0" borderId="57" xfId="0" applyFont="1" applyBorder="1" applyAlignment="1"/>
    <xf numFmtId="0" fontId="87" fillId="0" borderId="53" xfId="0" applyFont="1" applyBorder="1" applyAlignment="1">
      <alignment horizontal="center"/>
    </xf>
    <xf numFmtId="3" fontId="87" fillId="0" borderId="53" xfId="0" applyNumberFormat="1" applyFont="1" applyBorder="1" applyAlignment="1">
      <alignment horizontal="right"/>
    </xf>
    <xf numFmtId="0" fontId="89" fillId="0" borderId="0" xfId="0" applyFont="1"/>
    <xf numFmtId="0" fontId="90" fillId="0" borderId="0" xfId="0" applyFont="1"/>
    <xf numFmtId="0" fontId="90" fillId="0" borderId="0" xfId="0" applyFont="1" applyAlignment="1">
      <alignment horizontal="justify"/>
    </xf>
    <xf numFmtId="49" fontId="91" fillId="0" borderId="0" xfId="0" applyNumberFormat="1" applyFont="1"/>
    <xf numFmtId="0" fontId="75" fillId="73" borderId="39" xfId="0" applyFont="1" applyFill="1" applyBorder="1" applyAlignment="1">
      <alignment horizontal="center" vertical="center"/>
    </xf>
    <xf numFmtId="0" fontId="86" fillId="0" borderId="53" xfId="0" applyFont="1" applyBorder="1" applyAlignment="1">
      <alignment horizontal="center"/>
    </xf>
    <xf numFmtId="0" fontId="92" fillId="0" borderId="0" xfId="0" applyFont="1"/>
    <xf numFmtId="0" fontId="87" fillId="0" borderId="0" xfId="0" applyFont="1"/>
    <xf numFmtId="186" fontId="87" fillId="0" borderId="58" xfId="0" applyNumberFormat="1" applyFont="1" applyBorder="1" applyAlignment="1">
      <alignment horizontal="right"/>
    </xf>
    <xf numFmtId="3" fontId="70" fillId="0" borderId="0" xfId="0" applyNumberFormat="1" applyFont="1"/>
    <xf numFmtId="186" fontId="92" fillId="0" borderId="0" xfId="0" applyNumberFormat="1" applyFont="1"/>
    <xf numFmtId="0" fontId="32" fillId="73" borderId="29" xfId="0" applyFont="1" applyFill="1" applyBorder="1" applyAlignment="1">
      <alignment horizontal="left" vertical="center" indent="2"/>
    </xf>
    <xf numFmtId="0" fontId="32" fillId="73" borderId="29" xfId="0" applyFont="1" applyFill="1" applyBorder="1" applyAlignment="1">
      <alignment horizontal="center" vertical="center"/>
    </xf>
    <xf numFmtId="189" fontId="32" fillId="73" borderId="29" xfId="0" applyNumberFormat="1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indent="3"/>
    </xf>
    <xf numFmtId="0" fontId="33" fillId="73" borderId="29" xfId="0" applyFont="1" applyFill="1" applyBorder="1" applyAlignment="1">
      <alignment horizontal="left" vertical="center" indent="3"/>
    </xf>
    <xf numFmtId="3" fontId="32" fillId="73" borderId="29" xfId="0" applyNumberFormat="1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left" vertical="center" indent="3"/>
    </xf>
    <xf numFmtId="3" fontId="33" fillId="0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center" vertical="center"/>
    </xf>
    <xf numFmtId="49" fontId="33" fillId="0" borderId="29" xfId="0" applyNumberFormat="1" applyFont="1" applyFill="1" applyBorder="1" applyAlignment="1">
      <alignment horizontal="center" vertical="center"/>
    </xf>
    <xf numFmtId="0" fontId="33" fillId="73" borderId="29" xfId="0" applyFont="1" applyFill="1" applyBorder="1" applyAlignment="1">
      <alignment vertical="center"/>
    </xf>
    <xf numFmtId="0" fontId="33" fillId="73" borderId="29" xfId="0" applyFont="1" applyFill="1" applyBorder="1" applyAlignment="1">
      <alignment horizontal="center" vertical="center"/>
    </xf>
    <xf numFmtId="3" fontId="33" fillId="73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left" vertical="center" indent="2"/>
    </xf>
    <xf numFmtId="0" fontId="33" fillId="0" borderId="36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 wrapText="1" indent="2"/>
    </xf>
    <xf numFmtId="3" fontId="33" fillId="0" borderId="31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wrapText="1" indent="3"/>
    </xf>
    <xf numFmtId="3" fontId="32" fillId="73" borderId="29" xfId="0" applyNumberFormat="1" applyFont="1" applyFill="1" applyBorder="1" applyAlignment="1">
      <alignment vertical="center"/>
    </xf>
    <xf numFmtId="0" fontId="32" fillId="0" borderId="29" xfId="0" applyFont="1" applyFill="1" applyBorder="1" applyAlignment="1">
      <alignment horizontal="left" vertical="center" indent="3"/>
    </xf>
    <xf numFmtId="4" fontId="33" fillId="0" borderId="29" xfId="0" applyNumberFormat="1" applyFont="1" applyFill="1" applyBorder="1" applyAlignment="1">
      <alignment vertical="center"/>
    </xf>
    <xf numFmtId="4" fontId="32" fillId="73" borderId="29" xfId="0" applyNumberFormat="1" applyFont="1" applyFill="1" applyBorder="1" applyAlignment="1">
      <alignment vertical="center"/>
    </xf>
    <xf numFmtId="0" fontId="92" fillId="0" borderId="0" xfId="0" applyFont="1"/>
    <xf numFmtId="2" fontId="87" fillId="0" borderId="0" xfId="0" applyNumberFormat="1" applyFont="1" applyAlignment="1">
      <alignment horizontal="right"/>
    </xf>
    <xf numFmtId="49" fontId="92" fillId="0" borderId="0" xfId="0" applyNumberFormat="1" applyFont="1"/>
    <xf numFmtId="186" fontId="86" fillId="0" borderId="0" xfId="0" applyNumberFormat="1" applyFont="1" applyAlignment="1">
      <alignment horizontal="right"/>
    </xf>
    <xf numFmtId="0" fontId="92" fillId="0" borderId="53" xfId="0" applyFont="1" applyBorder="1" applyAlignment="1"/>
    <xf numFmtId="0" fontId="86" fillId="0" borderId="56" xfId="0" applyFont="1" applyBorder="1" applyAlignment="1"/>
    <xf numFmtId="3" fontId="0" fillId="0" borderId="0" xfId="0" applyNumberFormat="1"/>
    <xf numFmtId="9" fontId="0" fillId="0" borderId="0" xfId="950" applyFont="1"/>
    <xf numFmtId="0" fontId="93" fillId="0" borderId="0" xfId="0" applyFont="1"/>
    <xf numFmtId="9" fontId="93" fillId="0" borderId="0" xfId="950" applyFont="1"/>
    <xf numFmtId="3" fontId="93" fillId="0" borderId="0" xfId="0" applyNumberFormat="1" applyFont="1"/>
    <xf numFmtId="9" fontId="93" fillId="0" borderId="0" xfId="950" applyNumberFormat="1" applyFont="1"/>
    <xf numFmtId="3" fontId="4" fillId="96" borderId="0" xfId="903" applyNumberFormat="1" applyFont="1" applyFill="1"/>
    <xf numFmtId="184" fontId="3" fillId="0" borderId="59" xfId="836" applyNumberFormat="1" applyFont="1" applyFill="1" applyBorder="1"/>
    <xf numFmtId="49" fontId="78" fillId="94" borderId="0" xfId="836" applyNumberFormat="1" applyFont="1" applyFill="1" applyBorder="1" applyAlignment="1">
      <alignment horizontal="center"/>
    </xf>
    <xf numFmtId="184" fontId="3" fillId="0" borderId="0" xfId="836" applyNumberFormat="1" applyFont="1" applyFill="1" applyBorder="1"/>
    <xf numFmtId="184" fontId="31" fillId="0" borderId="0" xfId="836" applyNumberFormat="1" applyFont="1" applyFill="1" applyBorder="1"/>
    <xf numFmtId="167" fontId="78" fillId="94" borderId="0" xfId="836" quotePrefix="1" applyNumberFormat="1" applyFont="1" applyFill="1" applyBorder="1" applyAlignment="1">
      <alignment horizontal="center"/>
    </xf>
    <xf numFmtId="184" fontId="31" fillId="0" borderId="0" xfId="836" applyNumberFormat="1" applyFont="1" applyBorder="1"/>
    <xf numFmtId="184" fontId="78" fillId="94" borderId="0" xfId="836" applyNumberFormat="1" applyFont="1" applyFill="1" applyBorder="1"/>
    <xf numFmtId="0" fontId="86" fillId="0" borderId="0" xfId="0" applyFont="1" applyAlignment="1">
      <alignment horizontal="center"/>
    </xf>
    <xf numFmtId="17" fontId="86" fillId="0" borderId="53" xfId="0" applyNumberFormat="1" applyFont="1" applyBorder="1" applyAlignment="1">
      <alignment horizontal="center"/>
    </xf>
    <xf numFmtId="186" fontId="33" fillId="0" borderId="0" xfId="950" applyNumberFormat="1" applyFont="1" applyAlignment="1"/>
    <xf numFmtId="3" fontId="87" fillId="0" borderId="0" xfId="0" applyNumberFormat="1" applyFont="1" applyAlignment="1">
      <alignment horizontal="right" vertical="center"/>
    </xf>
    <xf numFmtId="3" fontId="87" fillId="0" borderId="55" xfId="0" applyNumberFormat="1" applyFont="1" applyBorder="1" applyAlignment="1">
      <alignment horizontal="right" vertical="center"/>
    </xf>
    <xf numFmtId="0" fontId="87" fillId="0" borderId="0" xfId="0" applyFont="1" applyAlignment="1">
      <alignment horizontal="right" vertical="center"/>
    </xf>
    <xf numFmtId="189" fontId="75" fillId="97" borderId="60" xfId="904" applyNumberFormat="1" applyFont="1" applyFill="1" applyBorder="1" applyAlignment="1">
      <alignment horizontal="center" vertical="center"/>
    </xf>
    <xf numFmtId="189" fontId="32" fillId="73" borderId="29" xfId="0" applyNumberFormat="1" applyFont="1" applyFill="1" applyBorder="1" applyAlignment="1">
      <alignment horizontal="center" vertical="center" wrapText="1"/>
    </xf>
    <xf numFmtId="0" fontId="3" fillId="96" borderId="47" xfId="0" applyFont="1" applyFill="1" applyBorder="1"/>
    <xf numFmtId="167" fontId="3" fillId="96" borderId="47" xfId="836" applyNumberFormat="1" applyFont="1" applyFill="1" applyBorder="1"/>
    <xf numFmtId="189" fontId="32" fillId="73" borderId="0" xfId="0" applyNumberFormat="1" applyFont="1" applyFill="1" applyBorder="1" applyAlignment="1">
      <alignment horizontal="center" vertical="center" wrapText="1"/>
    </xf>
    <xf numFmtId="3" fontId="32" fillId="73" borderId="0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vertical="center"/>
    </xf>
    <xf numFmtId="0" fontId="86" fillId="0" borderId="53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86" fillId="0" borderId="53" xfId="0" applyFont="1" applyBorder="1" applyAlignment="1">
      <alignment horizontal="center"/>
    </xf>
    <xf numFmtId="0" fontId="94" fillId="0" borderId="0" xfId="0" applyFont="1" applyAlignment="1">
      <alignment horizontal="left" indent="2"/>
    </xf>
    <xf numFmtId="0" fontId="95" fillId="0" borderId="0" xfId="0" applyFont="1"/>
    <xf numFmtId="0" fontId="95" fillId="0" borderId="0" xfId="0" applyFont="1" applyFill="1"/>
    <xf numFmtId="0" fontId="96" fillId="0" borderId="0" xfId="0" applyFont="1"/>
    <xf numFmtId="184" fontId="87" fillId="0" borderId="56" xfId="836" applyNumberFormat="1" applyFont="1" applyFill="1" applyBorder="1"/>
    <xf numFmtId="0" fontId="95" fillId="0" borderId="0" xfId="0" applyFont="1" applyAlignment="1">
      <alignment vertical="center"/>
    </xf>
    <xf numFmtId="184" fontId="87" fillId="0" borderId="0" xfId="836" applyNumberFormat="1" applyFont="1" applyFill="1" applyBorder="1"/>
    <xf numFmtId="0" fontId="86" fillId="0" borderId="0" xfId="0" applyFont="1" applyAlignment="1">
      <alignment horizontal="center"/>
    </xf>
    <xf numFmtId="0" fontId="97" fillId="0" borderId="0" xfId="0" applyFont="1"/>
    <xf numFmtId="0" fontId="33" fillId="0" borderId="0" xfId="0" applyFont="1" applyAlignment="1">
      <alignment vertical="center"/>
    </xf>
    <xf numFmtId="0" fontId="86" fillId="0" borderId="53" xfId="0" applyFont="1" applyBorder="1" applyAlignment="1">
      <alignment horizontal="right"/>
    </xf>
    <xf numFmtId="0" fontId="1" fillId="0" borderId="0" xfId="0" applyFont="1"/>
    <xf numFmtId="0" fontId="98" fillId="0" borderId="0" xfId="0" applyFont="1" applyAlignment="1">
      <alignment horizontal="justify"/>
    </xf>
    <xf numFmtId="0" fontId="87" fillId="0" borderId="0" xfId="0" applyFont="1" applyAlignment="1">
      <alignment vertical="center"/>
    </xf>
    <xf numFmtId="0" fontId="86" fillId="0" borderId="53" xfId="0" applyFont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6" fillId="0" borderId="53" xfId="0" applyFont="1" applyBorder="1" applyAlignment="1">
      <alignment horizontal="center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 wrapText="1"/>
    </xf>
    <xf numFmtId="0" fontId="87" fillId="0" borderId="0" xfId="0" applyFont="1" applyAlignment="1">
      <alignment horizontal="center" vertical="center"/>
    </xf>
    <xf numFmtId="0" fontId="87" fillId="0" borderId="53" xfId="0" applyFont="1" applyBorder="1" applyAlignment="1">
      <alignment vertical="center"/>
    </xf>
    <xf numFmtId="0" fontId="86" fillId="0" borderId="53" xfId="0" applyFont="1" applyBorder="1" applyAlignment="1">
      <alignment horizontal="center"/>
    </xf>
    <xf numFmtId="0" fontId="86" fillId="0" borderId="56" xfId="0" applyFont="1" applyBorder="1" applyAlignment="1">
      <alignment horizontal="center" vertical="center"/>
    </xf>
    <xf numFmtId="0" fontId="86" fillId="0" borderId="54" xfId="0" applyFont="1" applyBorder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54" xfId="0" applyFont="1" applyBorder="1" applyAlignment="1">
      <alignment horizontal="center"/>
    </xf>
    <xf numFmtId="0" fontId="72" fillId="73" borderId="27" xfId="0" applyFont="1" applyFill="1" applyBorder="1" applyAlignment="1">
      <alignment horizontal="left" vertical="top"/>
    </xf>
    <xf numFmtId="0" fontId="72" fillId="73" borderId="28" xfId="0" applyFont="1" applyFill="1" applyBorder="1" applyAlignment="1">
      <alignment horizontal="left" vertical="top"/>
    </xf>
    <xf numFmtId="0" fontId="72" fillId="73" borderId="27" xfId="0" applyFont="1" applyFill="1" applyBorder="1" applyAlignment="1">
      <alignment horizontal="center" vertical="top"/>
    </xf>
    <xf numFmtId="0" fontId="72" fillId="73" borderId="28" xfId="0" applyFont="1" applyFill="1" applyBorder="1" applyAlignment="1">
      <alignment horizontal="center" vertical="top"/>
    </xf>
    <xf numFmtId="0" fontId="72" fillId="0" borderId="36" xfId="0" applyFont="1" applyFill="1" applyBorder="1" applyAlignment="1">
      <alignment horizontal="left" vertical="center"/>
    </xf>
    <xf numFmtId="0" fontId="72" fillId="0" borderId="31" xfId="0" applyFont="1" applyFill="1" applyBorder="1" applyAlignment="1">
      <alignment horizontal="left" vertical="center"/>
    </xf>
    <xf numFmtId="0" fontId="75" fillId="0" borderId="36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75" fillId="0" borderId="32" xfId="0" applyFont="1" applyFill="1" applyBorder="1" applyAlignment="1">
      <alignment horizontal="center" vertical="center" wrapText="1"/>
    </xf>
    <xf numFmtId="0" fontId="71" fillId="0" borderId="36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191" fontId="75" fillId="0" borderId="41" xfId="840" applyNumberFormat="1" applyFont="1" applyFill="1" applyBorder="1" applyAlignment="1">
      <alignment horizontal="center" vertical="center" wrapText="1"/>
    </xf>
    <xf numFmtId="191" fontId="75" fillId="0" borderId="38" xfId="840" applyNumberFormat="1" applyFont="1" applyFill="1" applyBorder="1" applyAlignment="1">
      <alignment horizontal="center" vertical="center" wrapText="1"/>
    </xf>
    <xf numFmtId="191" fontId="75" fillId="0" borderId="40" xfId="840" applyNumberFormat="1" applyFont="1" applyFill="1" applyBorder="1" applyAlignment="1">
      <alignment horizontal="center" vertical="center" wrapText="1"/>
    </xf>
    <xf numFmtId="0" fontId="75" fillId="0" borderId="36" xfId="0" applyFont="1" applyFill="1" applyBorder="1" applyAlignment="1" applyProtection="1">
      <alignment horizontal="left" wrapText="1"/>
    </xf>
    <xf numFmtId="0" fontId="75" fillId="0" borderId="31" xfId="0" applyFont="1" applyFill="1" applyBorder="1" applyAlignment="1" applyProtection="1">
      <alignment horizontal="left" wrapText="1"/>
    </xf>
    <xf numFmtId="0" fontId="75" fillId="0" borderId="32" xfId="0" applyFont="1" applyFill="1" applyBorder="1" applyAlignment="1" applyProtection="1">
      <alignment horizontal="left" wrapText="1"/>
    </xf>
    <xf numFmtId="0" fontId="75" fillId="73" borderId="27" xfId="0" applyFont="1" applyFill="1" applyBorder="1" applyAlignment="1">
      <alignment horizontal="left" vertical="center"/>
    </xf>
    <xf numFmtId="0" fontId="75" fillId="73" borderId="28" xfId="0" applyFont="1" applyFill="1" applyBorder="1" applyAlignment="1">
      <alignment horizontal="left" vertical="center"/>
    </xf>
    <xf numFmtId="0" fontId="75" fillId="73" borderId="40" xfId="0" applyFont="1" applyFill="1" applyBorder="1" applyAlignment="1">
      <alignment horizontal="center" vertical="center"/>
    </xf>
    <xf numFmtId="0" fontId="75" fillId="73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left" vertical="center" indent="1"/>
    </xf>
    <xf numFmtId="0" fontId="75" fillId="0" borderId="31" xfId="0" applyFont="1" applyFill="1" applyBorder="1" applyAlignment="1">
      <alignment horizontal="left" vertical="center" indent="1"/>
    </xf>
    <xf numFmtId="0" fontId="75" fillId="0" borderId="32" xfId="0" applyFont="1" applyFill="1" applyBorder="1" applyAlignment="1">
      <alignment horizontal="left" vertical="center" indent="1"/>
    </xf>
    <xf numFmtId="0" fontId="75" fillId="0" borderId="36" xfId="0" applyFont="1" applyFill="1" applyBorder="1" applyAlignment="1">
      <alignment horizontal="left" vertical="center" wrapText="1" indent="1"/>
    </xf>
    <xf numFmtId="0" fontId="75" fillId="0" borderId="31" xfId="0" applyFont="1" applyFill="1" applyBorder="1" applyAlignment="1">
      <alignment horizontal="left" vertical="center" wrapText="1" indent="1"/>
    </xf>
    <xf numFmtId="0" fontId="75" fillId="0" borderId="32" xfId="0" applyFont="1" applyFill="1" applyBorder="1" applyAlignment="1">
      <alignment horizontal="left" vertical="center" wrapText="1" indent="1"/>
    </xf>
    <xf numFmtId="3" fontId="87" fillId="0" borderId="0" xfId="0" applyNumberFormat="1" applyFont="1" applyBorder="1" applyAlignment="1">
      <alignment horizontal="right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7" xfId="888"/>
    <cellStyle name="Normal 2" xfId="889"/>
    <cellStyle name="Normal 2 10" xfId="890"/>
    <cellStyle name="Normal 2 11" xfId="891"/>
    <cellStyle name="Normal 2 12" xfId="892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" xfId="1581" builtinId="16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'Cuadro Finanzas'!$F$9:$F$10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'Cuadro Finanzas'!$G$9:$G$10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'Cuadro Finanzas'!$B$9:$B$11</c:f>
              <c:strCache>
                <c:ptCount val="3"/>
                <c:pt idx="0">
                  <c:v>Bonds</c:v>
                </c:pt>
                <c:pt idx="1">
                  <c:v>Bank Debt</c:v>
                </c:pt>
                <c:pt idx="2">
                  <c:v>Promissory Notes</c:v>
                </c:pt>
              </c:strCache>
            </c:strRef>
          </c:cat>
          <c:val>
            <c:numRef>
              <c:f>'Cuadro Finanzas'!$C$9:$C$11</c:f>
              <c:numCache>
                <c:formatCode>0%</c:formatCode>
                <c:ptCount val="3"/>
                <c:pt idx="0">
                  <c:v>0.65</c:v>
                </c:pt>
                <c:pt idx="1">
                  <c:v>0.15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12</xdr:row>
      <xdr:rowOff>171450</xdr:rowOff>
    </xdr:from>
    <xdr:to>
      <xdr:col>10</xdr:col>
      <xdr:colOff>657225</xdr:colOff>
      <xdr:row>25</xdr:row>
      <xdr:rowOff>100012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352425</xdr:colOff>
      <xdr:row>12</xdr:row>
      <xdr:rowOff>157162</xdr:rowOff>
    </xdr:from>
    <xdr:to>
      <xdr:col>5</xdr:col>
      <xdr:colOff>133350</xdr:colOff>
      <xdr:row>25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55525</xdr:colOff>
      <xdr:row>46</xdr:row>
      <xdr:rowOff>27661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13009525" cy="7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averty/Documents/IR/Deuda/310314/Grafico%20Deuda_31%20ma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4%20Diciembre%202013\An&#225;lisis%20Razonado\IAM\Analisis%20razonado%20IAM%20Dic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4\03%20Septiembre%202014\Hoja%20de%20Trabajo%20Iam\Cuadros%20Fecu%20IAM%2009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erfil de Vcmto CLP"/>
      <sheetName val="Perfil de Vcmto USD"/>
      <sheetName val="Bancos"/>
      <sheetName val="Bancos AR"/>
      <sheetName val="Bonos"/>
      <sheetName val="Bonos AR"/>
      <sheetName val="AFR"/>
      <sheetName val="AFR AR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B11" t="str">
            <v>Bono</v>
          </cell>
          <cell r="C11">
            <v>0.69458701458906791</v>
          </cell>
          <cell r="F11" t="str">
            <v>Variable</v>
          </cell>
          <cell r="G11">
            <v>0.87349279413952119</v>
          </cell>
        </row>
        <row r="12">
          <cell r="B12" t="str">
            <v>Préstamos Bancarios</v>
          </cell>
          <cell r="C12">
            <v>0.12650720586047878</v>
          </cell>
          <cell r="F12" t="str">
            <v>Fija</v>
          </cell>
          <cell r="G12">
            <v>0.12650720586047878</v>
          </cell>
        </row>
        <row r="13">
          <cell r="B13" t="str">
            <v>AFRs</v>
          </cell>
          <cell r="C13">
            <v>0.17890577955045325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Fechas Indexaciones"/>
      <sheetName val="Cuadro Bce"/>
      <sheetName val="Indicadores"/>
      <sheetName val="Cuadro Resultado"/>
      <sheetName val="Cuadro Flujo"/>
      <sheetName val="Cuadros Gestión"/>
      <sheetName val="Nuevos cuadros"/>
      <sheetName val="Trimestral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J3">
            <v>111590</v>
          </cell>
        </row>
      </sheetData>
      <sheetData sheetId="9" refreshError="1">
        <row r="18">
          <cell r="D18">
            <v>402791320</v>
          </cell>
        </row>
        <row r="19">
          <cell r="D19">
            <v>221098572</v>
          </cell>
        </row>
        <row r="20">
          <cell r="D20">
            <v>148232829</v>
          </cell>
        </row>
        <row r="21">
          <cell r="D21">
            <v>-28886895</v>
          </cell>
        </row>
        <row r="22">
          <cell r="D22">
            <v>119336900</v>
          </cell>
        </row>
        <row r="23">
          <cell r="D23">
            <v>57647853</v>
          </cell>
        </row>
        <row r="24">
          <cell r="D24">
            <v>-29333029</v>
          </cell>
        </row>
        <row r="25">
          <cell r="D25">
            <v>-64721070</v>
          </cell>
        </row>
        <row r="28">
          <cell r="D28">
            <v>202592537</v>
          </cell>
        </row>
        <row r="29">
          <cell r="D29">
            <v>-119029257</v>
          </cell>
        </row>
        <row r="30">
          <cell r="D30">
            <v>-80470747</v>
          </cell>
        </row>
        <row r="31">
          <cell r="D31">
            <v>3092533</v>
          </cell>
        </row>
        <row r="32">
          <cell r="D32">
            <v>37206648</v>
          </cell>
        </row>
        <row r="35">
          <cell r="D35">
            <v>583787641</v>
          </cell>
        </row>
        <row r="39">
          <cell r="D39">
            <v>1819287669</v>
          </cell>
        </row>
        <row r="50">
          <cell r="C50">
            <v>402791320</v>
          </cell>
        </row>
        <row r="51">
          <cell r="C51">
            <v>-27416534</v>
          </cell>
        </row>
        <row r="52">
          <cell r="C52">
            <v>-40811406</v>
          </cell>
        </row>
        <row r="53">
          <cell r="C53">
            <v>-64721070</v>
          </cell>
        </row>
        <row r="54">
          <cell r="C54">
            <v>0</v>
          </cell>
        </row>
        <row r="55">
          <cell r="C55">
            <v>-88149562</v>
          </cell>
        </row>
        <row r="57">
          <cell r="C57">
            <v>7056285</v>
          </cell>
        </row>
        <row r="58">
          <cell r="C58">
            <v>-28886895</v>
          </cell>
        </row>
        <row r="59">
          <cell r="C59">
            <v>-1529</v>
          </cell>
        </row>
        <row r="60">
          <cell r="C60">
            <v>-12954456</v>
          </cell>
        </row>
        <row r="62">
          <cell r="C62">
            <v>1326676</v>
          </cell>
        </row>
        <row r="65">
          <cell r="C65">
            <v>-29333029</v>
          </cell>
        </row>
        <row r="66">
          <cell r="C66">
            <v>61251947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ovación Directorio"/>
      <sheetName val="Clasificación Resultado"/>
      <sheetName val="Resultado 092013"/>
      <sheetName val="Balance 122013"/>
      <sheetName val="Resultado 092014"/>
      <sheetName val="Balance 092014"/>
      <sheetName val="Inicio"/>
      <sheetName val="Activo"/>
      <sheetName val="Balance Resumido_092014"/>
      <sheetName val="Pasivo"/>
      <sheetName val="Resultado Resumino_092014"/>
      <sheetName val="Resultado Resumido_092013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ó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13044457</v>
          </cell>
          <cell r="E6">
            <v>40299181</v>
          </cell>
        </row>
        <row r="7">
          <cell r="D7">
            <v>1456103</v>
          </cell>
          <cell r="E7">
            <v>232245</v>
          </cell>
        </row>
        <row r="8">
          <cell r="D8">
            <v>80805748</v>
          </cell>
          <cell r="E8">
            <v>87959258</v>
          </cell>
        </row>
        <row r="9">
          <cell r="D9">
            <v>85684</v>
          </cell>
          <cell r="E9">
            <v>38941</v>
          </cell>
        </row>
        <row r="10">
          <cell r="D10">
            <v>4016497</v>
          </cell>
          <cell r="E10">
            <v>3608089</v>
          </cell>
        </row>
        <row r="11">
          <cell r="D11">
            <v>1231329</v>
          </cell>
          <cell r="E11">
            <v>2485107</v>
          </cell>
        </row>
        <row r="20">
          <cell r="D20">
            <v>7413197</v>
          </cell>
          <cell r="E20">
            <v>7413197</v>
          </cell>
        </row>
        <row r="21">
          <cell r="D21">
            <v>679443</v>
          </cell>
          <cell r="E21">
            <v>420067</v>
          </cell>
        </row>
        <row r="22">
          <cell r="D22">
            <v>1539708</v>
          </cell>
          <cell r="E22">
            <v>1879762</v>
          </cell>
        </row>
        <row r="23">
          <cell r="D23">
            <v>232219388</v>
          </cell>
          <cell r="E23">
            <v>227347269</v>
          </cell>
        </row>
        <row r="24">
          <cell r="D24">
            <v>307581431</v>
          </cell>
          <cell r="E24">
            <v>307581431</v>
          </cell>
        </row>
        <row r="25">
          <cell r="D25">
            <v>1167865117</v>
          </cell>
          <cell r="E25">
            <v>1171228114</v>
          </cell>
        </row>
        <row r="26">
          <cell r="D26">
            <v>8662265</v>
          </cell>
          <cell r="E26">
            <v>263122</v>
          </cell>
        </row>
      </sheetData>
      <sheetData sheetId="8" refreshError="1"/>
      <sheetData sheetId="9">
        <row r="6">
          <cell r="D6">
            <v>51517986</v>
          </cell>
          <cell r="E6">
            <v>93620208</v>
          </cell>
        </row>
        <row r="7">
          <cell r="D7">
            <v>57282003</v>
          </cell>
          <cell r="E7">
            <v>98814724</v>
          </cell>
        </row>
        <row r="8">
          <cell r="D8">
            <v>7892226</v>
          </cell>
          <cell r="E8">
            <v>21941594</v>
          </cell>
        </row>
        <row r="9">
          <cell r="D9">
            <v>537722</v>
          </cell>
          <cell r="E9">
            <v>918556</v>
          </cell>
        </row>
        <row r="10">
          <cell r="D10">
            <v>419608</v>
          </cell>
          <cell r="E10">
            <v>88462</v>
          </cell>
        </row>
        <row r="11">
          <cell r="D11">
            <v>2883439</v>
          </cell>
          <cell r="E11">
            <v>4267442</v>
          </cell>
        </row>
        <row r="12">
          <cell r="D12">
            <v>847614</v>
          </cell>
          <cell r="E12">
            <v>1381524</v>
          </cell>
        </row>
        <row r="17">
          <cell r="D17">
            <v>698715162</v>
          </cell>
          <cell r="E17">
            <v>626272073</v>
          </cell>
        </row>
        <row r="18">
          <cell r="D18">
            <v>1743910</v>
          </cell>
          <cell r="E18">
            <v>1862609</v>
          </cell>
        </row>
        <row r="19">
          <cell r="D19">
            <v>1163620</v>
          </cell>
          <cell r="E19">
            <v>1118746</v>
          </cell>
        </row>
        <row r="20">
          <cell r="D20">
            <v>43730911</v>
          </cell>
          <cell r="E20">
            <v>34360206</v>
          </cell>
        </row>
        <row r="21">
          <cell r="D21">
            <v>10301823</v>
          </cell>
          <cell r="E21">
            <v>8542371</v>
          </cell>
        </row>
        <row r="22">
          <cell r="D22">
            <v>7294709</v>
          </cell>
          <cell r="E22">
            <v>7888047</v>
          </cell>
        </row>
        <row r="27">
          <cell r="D27">
            <v>468358402</v>
          </cell>
          <cell r="E27">
            <v>468358402</v>
          </cell>
        </row>
        <row r="28">
          <cell r="D28">
            <v>148159732</v>
          </cell>
          <cell r="E28">
            <v>149822099</v>
          </cell>
        </row>
        <row r="29">
          <cell r="D29">
            <v>-37268417</v>
          </cell>
          <cell r="E29">
            <v>-37268417</v>
          </cell>
        </row>
        <row r="31">
          <cell r="D31">
            <v>363019917</v>
          </cell>
          <cell r="E31">
            <v>368767137</v>
          </cell>
        </row>
      </sheetData>
      <sheetData sheetId="10" refreshError="1"/>
      <sheetData sheetId="11" refreshError="1"/>
      <sheetData sheetId="12">
        <row r="5">
          <cell r="D5">
            <v>317524894</v>
          </cell>
          <cell r="E5">
            <v>291201763</v>
          </cell>
          <cell r="F5">
            <v>95751238</v>
          </cell>
          <cell r="G5">
            <v>88820629</v>
          </cell>
          <cell r="I5">
            <v>221773656</v>
          </cell>
          <cell r="J5">
            <v>202381134</v>
          </cell>
        </row>
        <row r="6">
          <cell r="D6">
            <v>-21571948</v>
          </cell>
          <cell r="E6">
            <v>-20492305</v>
          </cell>
          <cell r="F6">
            <v>-7765710</v>
          </cell>
          <cell r="G6">
            <v>-6634473</v>
          </cell>
          <cell r="I6">
            <v>-13806238</v>
          </cell>
          <cell r="J6">
            <v>-13857832</v>
          </cell>
        </row>
        <row r="7">
          <cell r="D7">
            <v>-33580101</v>
          </cell>
          <cell r="E7">
            <v>-29598227</v>
          </cell>
          <cell r="F7">
            <v>-12018208</v>
          </cell>
          <cell r="G7">
            <v>-9647187</v>
          </cell>
          <cell r="I7">
            <v>-21561893</v>
          </cell>
          <cell r="J7">
            <v>-19951040</v>
          </cell>
        </row>
        <row r="8">
          <cell r="D8">
            <v>-49188782</v>
          </cell>
          <cell r="E8">
            <v>-48758589</v>
          </cell>
          <cell r="F8">
            <v>-17589265</v>
          </cell>
          <cell r="G8">
            <v>-16583064</v>
          </cell>
          <cell r="I8">
            <v>-31599517</v>
          </cell>
          <cell r="J8">
            <v>-32175525</v>
          </cell>
        </row>
        <row r="9">
          <cell r="D9">
            <v>-70278957</v>
          </cell>
          <cell r="E9">
            <v>-66877546</v>
          </cell>
          <cell r="F9">
            <v>-23355459</v>
          </cell>
          <cell r="G9">
            <v>-21225192</v>
          </cell>
          <cell r="I9">
            <v>-46923498</v>
          </cell>
          <cell r="J9">
            <v>-45652354</v>
          </cell>
        </row>
        <row r="10">
          <cell r="D10">
            <v>905348</v>
          </cell>
          <cell r="E10">
            <v>1314198</v>
          </cell>
          <cell r="F10">
            <v>315401</v>
          </cell>
          <cell r="G10">
            <v>600318</v>
          </cell>
          <cell r="I10">
            <v>589947</v>
          </cell>
          <cell r="J10">
            <v>713880</v>
          </cell>
        </row>
        <row r="11">
          <cell r="D11">
            <v>4120160</v>
          </cell>
          <cell r="E11">
            <v>5816707</v>
          </cell>
          <cell r="F11">
            <v>1130953</v>
          </cell>
          <cell r="G11">
            <v>1419994</v>
          </cell>
          <cell r="I11">
            <v>2989207</v>
          </cell>
          <cell r="J11">
            <v>4396713</v>
          </cell>
        </row>
        <row r="12">
          <cell r="D12">
            <v>-23527839</v>
          </cell>
          <cell r="E12">
            <v>-21900066</v>
          </cell>
          <cell r="F12">
            <v>-9513137</v>
          </cell>
          <cell r="G12">
            <v>-7146187</v>
          </cell>
          <cell r="I12">
            <v>-14014702</v>
          </cell>
          <cell r="J12">
            <v>-14753879</v>
          </cell>
        </row>
        <row r="13">
          <cell r="D13">
            <v>-26078</v>
          </cell>
          <cell r="E13">
            <v>-4359</v>
          </cell>
          <cell r="F13">
            <v>-3611</v>
          </cell>
          <cell r="G13">
            <v>-6499</v>
          </cell>
          <cell r="I13">
            <v>-22467</v>
          </cell>
          <cell r="J13">
            <v>2140</v>
          </cell>
        </row>
        <row r="14">
          <cell r="D14">
            <v>-22815643</v>
          </cell>
          <cell r="E14">
            <v>-7068215</v>
          </cell>
          <cell r="F14">
            <v>-3794059</v>
          </cell>
          <cell r="G14">
            <v>-6580694</v>
          </cell>
          <cell r="I14">
            <v>-19021584</v>
          </cell>
          <cell r="J14">
            <v>-487521</v>
          </cell>
        </row>
        <row r="16">
          <cell r="D16">
            <v>-18259400</v>
          </cell>
          <cell r="E16">
            <v>-20883357</v>
          </cell>
          <cell r="F16">
            <v>-5339520</v>
          </cell>
          <cell r="G16">
            <v>-4921208</v>
          </cell>
          <cell r="I16">
            <v>-12919880</v>
          </cell>
          <cell r="J16">
            <v>-15962149</v>
          </cell>
        </row>
        <row r="22">
          <cell r="D22">
            <v>43288248</v>
          </cell>
          <cell r="E22">
            <v>42663525</v>
          </cell>
          <cell r="F22">
            <v>9570847</v>
          </cell>
          <cell r="G22">
            <v>9364008</v>
          </cell>
          <cell r="I22">
            <v>33717401</v>
          </cell>
          <cell r="J22">
            <v>33299517</v>
          </cell>
        </row>
        <row r="25">
          <cell r="D25">
            <v>40.013406000000003</v>
          </cell>
          <cell r="E25">
            <v>40.086478999999997</v>
          </cell>
          <cell r="F25">
            <v>8.247776</v>
          </cell>
          <cell r="G25">
            <v>8.7324289999999998</v>
          </cell>
          <cell r="I25">
            <v>31.765630000000002</v>
          </cell>
          <cell r="J25">
            <v>31.354050000000001</v>
          </cell>
        </row>
      </sheetData>
      <sheetData sheetId="13">
        <row r="6">
          <cell r="D6">
            <v>389721926</v>
          </cell>
          <cell r="E6">
            <v>348192586</v>
          </cell>
        </row>
        <row r="8">
          <cell r="D8">
            <v>0</v>
          </cell>
          <cell r="E8">
            <v>0</v>
          </cell>
        </row>
        <row r="9">
          <cell r="D9">
            <v>574789</v>
          </cell>
          <cell r="E9">
            <v>1560826</v>
          </cell>
        </row>
        <row r="11">
          <cell r="D11">
            <v>3307161</v>
          </cell>
          <cell r="E11">
            <v>1893243</v>
          </cell>
        </row>
        <row r="13">
          <cell r="D13">
            <v>-111664335</v>
          </cell>
          <cell r="E13">
            <v>-93956819</v>
          </cell>
        </row>
        <row r="15">
          <cell r="D15">
            <v>-35092614</v>
          </cell>
          <cell r="E15">
            <v>-31250927</v>
          </cell>
        </row>
        <row r="16">
          <cell r="D16">
            <v>-2892332</v>
          </cell>
          <cell r="E16">
            <v>-476428</v>
          </cell>
        </row>
        <row r="18">
          <cell r="D18">
            <v>-39530257</v>
          </cell>
          <cell r="E18">
            <v>-32710675</v>
          </cell>
        </row>
        <row r="22">
          <cell r="D22">
            <v>-18268082</v>
          </cell>
          <cell r="E22">
            <v>-18236269</v>
          </cell>
        </row>
        <row r="23">
          <cell r="D23">
            <v>1194848</v>
          </cell>
          <cell r="E23">
            <v>2334889</v>
          </cell>
        </row>
        <row r="24">
          <cell r="D24">
            <v>-22581510</v>
          </cell>
          <cell r="E24">
            <v>-23636401</v>
          </cell>
        </row>
        <row r="25">
          <cell r="D25">
            <v>-4061119</v>
          </cell>
          <cell r="E25">
            <v>-1830598</v>
          </cell>
        </row>
        <row r="35">
          <cell r="D35">
            <v>378665</v>
          </cell>
          <cell r="E35">
            <v>24952</v>
          </cell>
        </row>
        <row r="36">
          <cell r="D36">
            <v>-59633373</v>
          </cell>
          <cell r="E36">
            <v>-85750478</v>
          </cell>
        </row>
        <row r="38">
          <cell r="D38">
            <v>-84652</v>
          </cell>
          <cell r="E38">
            <v>-86869</v>
          </cell>
        </row>
        <row r="52">
          <cell r="D52">
            <v>-1582561</v>
          </cell>
          <cell r="E52">
            <v>-1150569</v>
          </cell>
        </row>
        <row r="60">
          <cell r="D60">
            <v>137382094</v>
          </cell>
          <cell r="E60">
            <v>50788061</v>
          </cell>
        </row>
        <row r="61">
          <cell r="D61">
            <v>49011475</v>
          </cell>
          <cell r="E61">
            <v>0</v>
          </cell>
        </row>
        <row r="64">
          <cell r="D64">
            <v>-194124035</v>
          </cell>
          <cell r="E64">
            <v>-33065714</v>
          </cell>
        </row>
        <row r="68">
          <cell r="D68">
            <v>-118898853</v>
          </cell>
          <cell r="E68">
            <v>-87471861</v>
          </cell>
        </row>
        <row r="71">
          <cell r="D71">
            <v>-411959</v>
          </cell>
          <cell r="E71">
            <v>-204845</v>
          </cell>
        </row>
        <row r="77">
          <cell r="D77">
            <v>40299181</v>
          </cell>
          <cell r="E77">
            <v>37206648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S46"/>
  <sheetViews>
    <sheetView showGridLines="0" topLeftCell="A4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K7" sqref="K7:K9"/>
    </sheetView>
  </sheetViews>
  <sheetFormatPr baseColWidth="10" defaultRowHeight="12.75"/>
  <cols>
    <col min="1" max="1" width="7.5703125" style="20" customWidth="1"/>
    <col min="2" max="2" width="68.5703125" style="20" customWidth="1"/>
    <col min="3" max="3" width="7.7109375" style="20" customWidth="1"/>
    <col min="4" max="5" width="13.85546875" style="20" customWidth="1"/>
    <col min="6" max="7" width="13.85546875" style="20" hidden="1" customWidth="1"/>
    <col min="8" max="10" width="11.42578125" style="20"/>
    <col min="11" max="11" width="20" style="20" customWidth="1"/>
    <col min="12" max="12" width="12.140625" style="20" bestFit="1" customWidth="1"/>
    <col min="13" max="13" width="12.140625" style="20" customWidth="1"/>
    <col min="14" max="14" width="11.42578125" style="20"/>
    <col min="15" max="15" width="11.85546875" style="20" bestFit="1" customWidth="1"/>
    <col min="16" max="16" width="13.28515625" style="20" bestFit="1" customWidth="1"/>
    <col min="17" max="16384" width="11.42578125" style="20"/>
  </cols>
  <sheetData>
    <row r="1" spans="1:17" ht="9.75" customHeight="1"/>
    <row r="2" spans="1:17">
      <c r="B2" s="21" t="s">
        <v>153</v>
      </c>
      <c r="C2" s="22"/>
    </row>
    <row r="3" spans="1:17" ht="24.75" customHeight="1" thickBot="1">
      <c r="C3" s="22"/>
    </row>
    <row r="4" spans="1:17" ht="30" customHeight="1" thickBot="1">
      <c r="A4" s="15"/>
      <c r="B4" s="296" t="s">
        <v>154</v>
      </c>
      <c r="C4" s="297" t="s">
        <v>103</v>
      </c>
      <c r="D4" s="347">
        <v>41912</v>
      </c>
      <c r="E4" s="298">
        <v>41547</v>
      </c>
      <c r="F4" s="298" t="s">
        <v>278</v>
      </c>
      <c r="G4" s="298">
        <v>41364</v>
      </c>
      <c r="K4" s="348" t="s">
        <v>289</v>
      </c>
      <c r="L4" s="348" t="s">
        <v>290</v>
      </c>
      <c r="M4" s="351"/>
      <c r="O4" s="298">
        <v>41820</v>
      </c>
      <c r="P4" s="298">
        <v>41455</v>
      </c>
    </row>
    <row r="5" spans="1:17" ht="15" customHeight="1" thickBot="1">
      <c r="B5" s="299" t="s">
        <v>155</v>
      </c>
      <c r="C5" s="300"/>
      <c r="D5" s="301" t="s">
        <v>5</v>
      </c>
      <c r="E5" s="301" t="s">
        <v>5</v>
      </c>
      <c r="F5" s="301" t="s">
        <v>5</v>
      </c>
      <c r="G5" s="301" t="s">
        <v>5</v>
      </c>
      <c r="K5" s="301" t="s">
        <v>5</v>
      </c>
      <c r="L5" s="301" t="s">
        <v>5</v>
      </c>
      <c r="M5" s="352"/>
      <c r="O5" s="301" t="s">
        <v>5</v>
      </c>
      <c r="P5" s="301" t="s">
        <v>5</v>
      </c>
    </row>
    <row r="6" spans="1:17" ht="15" hidden="1" customHeight="1" thickBot="1">
      <c r="B6" s="302"/>
      <c r="C6" s="302"/>
      <c r="D6" s="303"/>
      <c r="E6" s="303"/>
      <c r="F6" s="303"/>
      <c r="G6" s="303"/>
      <c r="K6" s="303"/>
      <c r="L6" s="303"/>
      <c r="M6" s="353"/>
      <c r="O6" s="303"/>
      <c r="P6" s="303"/>
    </row>
    <row r="7" spans="1:17" ht="15" customHeight="1" thickBot="1">
      <c r="B7" s="302" t="s">
        <v>101</v>
      </c>
      <c r="C7" s="304">
        <v>17</v>
      </c>
      <c r="D7" s="303">
        <f>+'[3]Estado de Resultado'!D5</f>
        <v>317524894</v>
      </c>
      <c r="E7" s="303">
        <f>+'[3]Estado de Resultado'!E5</f>
        <v>291201763</v>
      </c>
      <c r="F7" s="303"/>
      <c r="G7" s="303">
        <v>108283875</v>
      </c>
      <c r="H7" s="23">
        <f>+(D7-E7)/1000</f>
        <v>26323.131000000001</v>
      </c>
      <c r="I7" s="23"/>
      <c r="J7" s="23">
        <f t="shared" ref="J7:J16" si="0">+D7-E7</f>
        <v>26323131</v>
      </c>
      <c r="K7" s="303">
        <f>+'[3]Estado de Resultado'!F5</f>
        <v>95751238</v>
      </c>
      <c r="L7" s="303">
        <f>+'[3]Estado de Resultado'!G5</f>
        <v>88820629</v>
      </c>
      <c r="M7" s="23">
        <f>+K7-L7</f>
        <v>6930609</v>
      </c>
      <c r="O7" s="303">
        <f>+'[3]Estado de Resultado'!I5</f>
        <v>221773656</v>
      </c>
      <c r="P7" s="303">
        <f>+'[3]Estado de Resultado'!J5</f>
        <v>202381134</v>
      </c>
      <c r="Q7" s="23">
        <f>+O7-P7</f>
        <v>19392522</v>
      </c>
    </row>
    <row r="8" spans="1:17" ht="15" customHeight="1" thickBot="1">
      <c r="B8" s="302" t="s">
        <v>91</v>
      </c>
      <c r="C8" s="304"/>
      <c r="D8" s="303">
        <f>+'[3]Estado de Resultado'!D6</f>
        <v>-21571948</v>
      </c>
      <c r="E8" s="303">
        <f>+'[3]Estado de Resultado'!E6</f>
        <v>-20492305</v>
      </c>
      <c r="F8" s="303"/>
      <c r="G8" s="303">
        <v>-6812889</v>
      </c>
      <c r="H8" s="23">
        <f t="shared" ref="H8:H28" si="1">+(D8-E8)/1000</f>
        <v>-1079.643</v>
      </c>
      <c r="I8" s="23"/>
      <c r="J8" s="23">
        <f t="shared" si="0"/>
        <v>-1079643</v>
      </c>
      <c r="K8" s="303">
        <f>+'[3]Estado de Resultado'!F6</f>
        <v>-7765710</v>
      </c>
      <c r="L8" s="303">
        <f>+'[3]Estado de Resultado'!G6</f>
        <v>-6634473</v>
      </c>
      <c r="M8" s="23">
        <f t="shared" ref="M8:M28" si="2">+K8-L8</f>
        <v>-1131237</v>
      </c>
      <c r="O8" s="303">
        <f>+'[3]Estado de Resultado'!I6</f>
        <v>-13806238</v>
      </c>
      <c r="P8" s="303">
        <f>+'[3]Estado de Resultado'!J6</f>
        <v>-13857832</v>
      </c>
      <c r="Q8" s="23">
        <f t="shared" ref="Q8:Q25" si="3">+O8-P8</f>
        <v>51594</v>
      </c>
    </row>
    <row r="9" spans="1:17" ht="15" customHeight="1" thickBot="1">
      <c r="B9" s="302" t="s">
        <v>82</v>
      </c>
      <c r="C9" s="304">
        <v>19</v>
      </c>
      <c r="D9" s="303">
        <f>+'[3]Estado de Resultado'!D7</f>
        <v>-33580101</v>
      </c>
      <c r="E9" s="303">
        <f>+'[3]Estado de Resultado'!E7</f>
        <v>-29598227</v>
      </c>
      <c r="F9" s="303"/>
      <c r="G9" s="303">
        <v>-9492724</v>
      </c>
      <c r="H9" s="23">
        <f t="shared" si="1"/>
        <v>-3981.8739999999998</v>
      </c>
      <c r="I9" s="23"/>
      <c r="J9" s="23">
        <f t="shared" si="0"/>
        <v>-3981874</v>
      </c>
      <c r="K9" s="303">
        <f>+'[3]Estado de Resultado'!F7</f>
        <v>-12018208</v>
      </c>
      <c r="L9" s="303">
        <f>+'[3]Estado de Resultado'!G7</f>
        <v>-9647187</v>
      </c>
      <c r="M9" s="23">
        <f t="shared" si="2"/>
        <v>-2371021</v>
      </c>
      <c r="O9" s="303">
        <f>+'[3]Estado de Resultado'!I7</f>
        <v>-21561893</v>
      </c>
      <c r="P9" s="303">
        <f>+'[3]Estado de Resultado'!J7</f>
        <v>-19951040</v>
      </c>
      <c r="Q9" s="23">
        <f t="shared" si="3"/>
        <v>-1610853</v>
      </c>
    </row>
    <row r="10" spans="1:17" ht="15" customHeight="1" thickBot="1">
      <c r="B10" s="302" t="s">
        <v>83</v>
      </c>
      <c r="C10" s="305" t="s">
        <v>235</v>
      </c>
      <c r="D10" s="303">
        <f>+'[3]Estado de Resultado'!D8</f>
        <v>-49188782</v>
      </c>
      <c r="E10" s="303">
        <f>+'[3]Estado de Resultado'!E8</f>
        <v>-48758589</v>
      </c>
      <c r="F10" s="303"/>
      <c r="G10" s="303">
        <v>-15987669</v>
      </c>
      <c r="H10" s="23">
        <f t="shared" si="1"/>
        <v>-430.19299999999998</v>
      </c>
      <c r="I10" s="23"/>
      <c r="J10" s="23">
        <f t="shared" si="0"/>
        <v>-430193</v>
      </c>
      <c r="K10" s="303">
        <f>+'[3]Estado de Resultado'!F8</f>
        <v>-17589265</v>
      </c>
      <c r="L10" s="303">
        <f>+'[3]Estado de Resultado'!G8</f>
        <v>-16583064</v>
      </c>
      <c r="M10" s="23">
        <f t="shared" si="2"/>
        <v>-1006201</v>
      </c>
      <c r="O10" s="303">
        <f>+'[3]Estado de Resultado'!I8</f>
        <v>-31599517</v>
      </c>
      <c r="P10" s="303">
        <f>+'[3]Estado de Resultado'!J8</f>
        <v>-32175525</v>
      </c>
      <c r="Q10" s="23">
        <f t="shared" si="3"/>
        <v>576008</v>
      </c>
    </row>
    <row r="11" spans="1:17" ht="15" customHeight="1" thickBot="1">
      <c r="B11" s="302" t="s">
        <v>84</v>
      </c>
      <c r="C11" s="304">
        <v>21</v>
      </c>
      <c r="D11" s="303">
        <f>+'[3]Estado de Resultado'!D9</f>
        <v>-70278957</v>
      </c>
      <c r="E11" s="303">
        <f>+'[3]Estado de Resultado'!E9</f>
        <v>-66877546</v>
      </c>
      <c r="F11" s="303"/>
      <c r="G11" s="303">
        <v>-21624512</v>
      </c>
      <c r="H11" s="23">
        <f t="shared" si="1"/>
        <v>-3401.4110000000001</v>
      </c>
      <c r="I11" s="23"/>
      <c r="J11" s="23">
        <f t="shared" si="0"/>
        <v>-3401411</v>
      </c>
      <c r="K11" s="303">
        <f>+'[3]Estado de Resultado'!F9</f>
        <v>-23355459</v>
      </c>
      <c r="L11" s="303">
        <f>+'[3]Estado de Resultado'!G9</f>
        <v>-21225192</v>
      </c>
      <c r="M11" s="23">
        <f t="shared" si="2"/>
        <v>-2130267</v>
      </c>
      <c r="O11" s="303">
        <f>+'[3]Estado de Resultado'!I9</f>
        <v>-46923498</v>
      </c>
      <c r="P11" s="303">
        <f>+'[3]Estado de Resultado'!J9</f>
        <v>-45652354</v>
      </c>
      <c r="Q11" s="23">
        <f t="shared" si="3"/>
        <v>-1271144</v>
      </c>
    </row>
    <row r="12" spans="1:17" ht="15" customHeight="1" thickBot="1">
      <c r="B12" s="302" t="s">
        <v>156</v>
      </c>
      <c r="C12" s="304">
        <v>5</v>
      </c>
      <c r="D12" s="303">
        <f>+'[3]Estado de Resultado'!D10</f>
        <v>905348</v>
      </c>
      <c r="E12" s="303">
        <f>+'[3]Estado de Resultado'!E10</f>
        <v>1314198</v>
      </c>
      <c r="F12" s="303"/>
      <c r="G12" s="303">
        <v>558244</v>
      </c>
      <c r="H12" s="23">
        <f t="shared" si="1"/>
        <v>-408.85</v>
      </c>
      <c r="I12" s="23"/>
      <c r="J12" s="23">
        <f t="shared" si="0"/>
        <v>-408850</v>
      </c>
      <c r="K12" s="303">
        <f>+'[3]Estado de Resultado'!F10</f>
        <v>315401</v>
      </c>
      <c r="L12" s="303">
        <f>+'[3]Estado de Resultado'!G10</f>
        <v>600318</v>
      </c>
      <c r="M12" s="23">
        <f t="shared" si="2"/>
        <v>-284917</v>
      </c>
      <c r="O12" s="303">
        <f>+'[3]Estado de Resultado'!I10</f>
        <v>589947</v>
      </c>
      <c r="P12" s="303">
        <f>+'[3]Estado de Resultado'!J10</f>
        <v>713880</v>
      </c>
      <c r="Q12" s="23">
        <f t="shared" si="3"/>
        <v>-123933</v>
      </c>
    </row>
    <row r="13" spans="1:17" ht="15" customHeight="1" thickBot="1">
      <c r="B13" s="302" t="s">
        <v>88</v>
      </c>
      <c r="C13" s="304">
        <v>5</v>
      </c>
      <c r="D13" s="303">
        <f>+'[3]Estado de Resultado'!D11</f>
        <v>4120160</v>
      </c>
      <c r="E13" s="303">
        <f>+'[3]Estado de Resultado'!E11</f>
        <v>5816707</v>
      </c>
      <c r="F13" s="303"/>
      <c r="G13" s="303">
        <v>1712902</v>
      </c>
      <c r="H13" s="23">
        <f t="shared" si="1"/>
        <v>-1696.547</v>
      </c>
      <c r="I13" s="23"/>
      <c r="J13" s="23">
        <f t="shared" si="0"/>
        <v>-1696547</v>
      </c>
      <c r="K13" s="303">
        <f>+'[3]Estado de Resultado'!F11</f>
        <v>1130953</v>
      </c>
      <c r="L13" s="303">
        <f>+'[3]Estado de Resultado'!G11</f>
        <v>1419994</v>
      </c>
      <c r="M13" s="23">
        <f t="shared" si="2"/>
        <v>-289041</v>
      </c>
      <c r="O13" s="303">
        <f>+'[3]Estado de Resultado'!I11</f>
        <v>2989207</v>
      </c>
      <c r="P13" s="303">
        <f>+'[3]Estado de Resultado'!J11</f>
        <v>4396713</v>
      </c>
      <c r="Q13" s="23">
        <f t="shared" si="3"/>
        <v>-1407506</v>
      </c>
    </row>
    <row r="14" spans="1:17" ht="15" customHeight="1" thickBot="1">
      <c r="B14" s="302" t="s">
        <v>157</v>
      </c>
      <c r="C14" s="304">
        <v>5</v>
      </c>
      <c r="D14" s="303">
        <f>+'[3]Estado de Resultado'!D12</f>
        <v>-23527839</v>
      </c>
      <c r="E14" s="303">
        <f>+'[3]Estado de Resultado'!E12</f>
        <v>-21900066</v>
      </c>
      <c r="F14" s="303"/>
      <c r="G14" s="303">
        <v>-7245846</v>
      </c>
      <c r="H14" s="23">
        <f t="shared" si="1"/>
        <v>-1627.7729999999999</v>
      </c>
      <c r="I14" s="23"/>
      <c r="J14" s="23">
        <f t="shared" si="0"/>
        <v>-1627773</v>
      </c>
      <c r="K14" s="303">
        <f>+'[3]Estado de Resultado'!F12</f>
        <v>-9513137</v>
      </c>
      <c r="L14" s="303">
        <f>+'[3]Estado de Resultado'!G12</f>
        <v>-7146187</v>
      </c>
      <c r="M14" s="23">
        <f t="shared" si="2"/>
        <v>-2366950</v>
      </c>
      <c r="O14" s="303">
        <f>+'[3]Estado de Resultado'!I12</f>
        <v>-14014702</v>
      </c>
      <c r="P14" s="303">
        <f>+'[3]Estado de Resultado'!J12</f>
        <v>-14753879</v>
      </c>
      <c r="Q14" s="23">
        <f t="shared" si="3"/>
        <v>739177</v>
      </c>
    </row>
    <row r="15" spans="1:17" ht="15" customHeight="1" thickBot="1">
      <c r="B15" s="302" t="s">
        <v>158</v>
      </c>
      <c r="C15" s="304">
        <v>20</v>
      </c>
      <c r="D15" s="303">
        <f>+'[3]Estado de Resultado'!D13</f>
        <v>-26078</v>
      </c>
      <c r="E15" s="303">
        <f>+'[3]Estado de Resultado'!E13</f>
        <v>-4359</v>
      </c>
      <c r="F15" s="303"/>
      <c r="G15" s="303">
        <v>9761</v>
      </c>
      <c r="H15" s="23">
        <f t="shared" si="1"/>
        <v>-21.719000000000001</v>
      </c>
      <c r="I15" s="23"/>
      <c r="J15" s="23">
        <f t="shared" si="0"/>
        <v>-21719</v>
      </c>
      <c r="K15" s="303">
        <f>+'[3]Estado de Resultado'!F13</f>
        <v>-3611</v>
      </c>
      <c r="L15" s="303">
        <f>+'[3]Estado de Resultado'!G13</f>
        <v>-6499</v>
      </c>
      <c r="M15" s="23">
        <f t="shared" si="2"/>
        <v>2888</v>
      </c>
      <c r="O15" s="303">
        <f>+'[3]Estado de Resultado'!I13</f>
        <v>-22467</v>
      </c>
      <c r="P15" s="303">
        <f>+'[3]Estado de Resultado'!J13</f>
        <v>2140</v>
      </c>
      <c r="Q15" s="23">
        <f t="shared" si="3"/>
        <v>-24607</v>
      </c>
    </row>
    <row r="16" spans="1:17" ht="15" customHeight="1" thickBot="1">
      <c r="B16" s="302" t="s">
        <v>159</v>
      </c>
      <c r="C16" s="304"/>
      <c r="D16" s="303">
        <f>+'[3]Estado de Resultado'!D14</f>
        <v>-22815643</v>
      </c>
      <c r="E16" s="303">
        <f>+'[3]Estado de Resultado'!E14</f>
        <v>-7068215</v>
      </c>
      <c r="F16" s="303"/>
      <c r="G16" s="303">
        <v>-875993</v>
      </c>
      <c r="H16" s="23">
        <f t="shared" si="1"/>
        <v>-15747.428</v>
      </c>
      <c r="I16" s="23"/>
      <c r="J16" s="23">
        <f t="shared" si="0"/>
        <v>-15747428</v>
      </c>
      <c r="K16" s="303">
        <f>+'[3]Estado de Resultado'!F14</f>
        <v>-3794059</v>
      </c>
      <c r="L16" s="303">
        <f>+'[3]Estado de Resultado'!G14</f>
        <v>-6580694</v>
      </c>
      <c r="M16" s="23">
        <f t="shared" si="2"/>
        <v>2786635</v>
      </c>
      <c r="O16" s="303">
        <f>+'[3]Estado de Resultado'!I14</f>
        <v>-19021584</v>
      </c>
      <c r="P16" s="303">
        <f>+'[3]Estado de Resultado'!J14</f>
        <v>-487521</v>
      </c>
      <c r="Q16" s="23">
        <f t="shared" si="3"/>
        <v>-18534063</v>
      </c>
    </row>
    <row r="17" spans="1:19" ht="15" customHeight="1" thickBot="1">
      <c r="B17" s="306" t="s">
        <v>160</v>
      </c>
      <c r="C17" s="307"/>
      <c r="D17" s="308">
        <f>SUM(D7:D16)</f>
        <v>101561054</v>
      </c>
      <c r="E17" s="308">
        <f>SUM(E7:E16)</f>
        <v>103633361</v>
      </c>
      <c r="F17" s="308">
        <v>0</v>
      </c>
      <c r="G17" s="308">
        <v>48525149</v>
      </c>
      <c r="H17" s="23">
        <f t="shared" si="1"/>
        <v>-2072.3069999999998</v>
      </c>
      <c r="I17" s="23"/>
      <c r="J17" s="23">
        <f>+D17*0.2</f>
        <v>20312210.800000001</v>
      </c>
      <c r="K17" s="308">
        <f>SUM(K7:K16)</f>
        <v>23158143</v>
      </c>
      <c r="L17" s="308">
        <f>SUM(L7:L16)</f>
        <v>23017645</v>
      </c>
      <c r="M17" s="23">
        <f t="shared" si="2"/>
        <v>140498</v>
      </c>
      <c r="O17" s="308">
        <f>SUM(O7:O16)</f>
        <v>78402911</v>
      </c>
      <c r="P17" s="308">
        <f>SUM(P7:P16)</f>
        <v>80615716</v>
      </c>
      <c r="Q17" s="23">
        <f t="shared" si="3"/>
        <v>-2212805</v>
      </c>
    </row>
    <row r="18" spans="1:19" ht="15" customHeight="1" thickBot="1">
      <c r="A18" s="24"/>
      <c r="B18" s="309" t="s">
        <v>161</v>
      </c>
      <c r="C18" s="304">
        <v>23</v>
      </c>
      <c r="D18" s="303">
        <f>+'[3]Estado de Resultado'!D16</f>
        <v>-18259400</v>
      </c>
      <c r="E18" s="303">
        <f>+'[3]Estado de Resultado'!E16</f>
        <v>-20883357</v>
      </c>
      <c r="F18" s="303"/>
      <c r="G18" s="303">
        <v>-9448837</v>
      </c>
      <c r="H18" s="23">
        <f t="shared" si="1"/>
        <v>2623.9569999999999</v>
      </c>
      <c r="I18" s="23"/>
      <c r="J18" s="23">
        <f t="shared" ref="J18:J26" si="4">+D18-E18</f>
        <v>2623957</v>
      </c>
      <c r="K18" s="303">
        <f>+'[3]Estado de Resultado'!F16</f>
        <v>-5339520</v>
      </c>
      <c r="L18" s="303">
        <f>+'[3]Estado de Resultado'!G16</f>
        <v>-4921208</v>
      </c>
      <c r="M18" s="23">
        <f t="shared" si="2"/>
        <v>-418312</v>
      </c>
      <c r="O18" s="303">
        <f>+'[3]Estado de Resultado'!I16</f>
        <v>-12919880</v>
      </c>
      <c r="P18" s="303">
        <f>+'[3]Estado de Resultado'!J16</f>
        <v>-15962149</v>
      </c>
      <c r="Q18" s="23">
        <f t="shared" si="3"/>
        <v>3042269</v>
      </c>
    </row>
    <row r="19" spans="1:19" ht="15" customHeight="1" thickBot="1">
      <c r="B19" s="306" t="s">
        <v>162</v>
      </c>
      <c r="C19" s="300"/>
      <c r="D19" s="308">
        <f>+D18+D17</f>
        <v>83301654</v>
      </c>
      <c r="E19" s="308">
        <f>+E18+E17</f>
        <v>82750004</v>
      </c>
      <c r="F19" s="308">
        <v>0</v>
      </c>
      <c r="G19" s="308">
        <v>39076312</v>
      </c>
      <c r="H19" s="23">
        <f t="shared" si="1"/>
        <v>551.65</v>
      </c>
      <c r="I19" s="23"/>
      <c r="J19" s="23">
        <f t="shared" si="4"/>
        <v>551650</v>
      </c>
      <c r="K19" s="308">
        <f>+K18+K17</f>
        <v>17818623</v>
      </c>
      <c r="L19" s="308">
        <f>+L18+L17</f>
        <v>18096437</v>
      </c>
      <c r="M19" s="23">
        <f t="shared" si="2"/>
        <v>-277814</v>
      </c>
      <c r="O19" s="308">
        <f>+O18+O17</f>
        <v>65483031</v>
      </c>
      <c r="P19" s="308">
        <f>+P18+P17</f>
        <v>64653567</v>
      </c>
      <c r="Q19" s="23">
        <f t="shared" si="3"/>
        <v>829464</v>
      </c>
    </row>
    <row r="20" spans="1:19" ht="9" customHeight="1" thickBot="1">
      <c r="B20" s="310"/>
      <c r="C20" s="311"/>
      <c r="D20" s="311"/>
      <c r="E20" s="312"/>
      <c r="F20" s="312"/>
      <c r="G20" s="312"/>
      <c r="H20" s="23">
        <f t="shared" si="1"/>
        <v>0</v>
      </c>
      <c r="I20" s="23"/>
      <c r="J20" s="23">
        <f t="shared" si="4"/>
        <v>0</v>
      </c>
      <c r="K20" s="311"/>
      <c r="L20" s="312"/>
      <c r="M20" s="23">
        <f t="shared" si="2"/>
        <v>0</v>
      </c>
      <c r="O20" s="311"/>
      <c r="P20" s="312"/>
      <c r="Q20" s="23">
        <f t="shared" si="3"/>
        <v>0</v>
      </c>
    </row>
    <row r="21" spans="1:19" ht="15" customHeight="1" thickBot="1">
      <c r="B21" s="300" t="s">
        <v>163</v>
      </c>
      <c r="C21" s="300"/>
      <c r="D21" s="308">
        <f>+D19</f>
        <v>83301654</v>
      </c>
      <c r="E21" s="308">
        <f>+E19</f>
        <v>82750004</v>
      </c>
      <c r="F21" s="308">
        <v>0</v>
      </c>
      <c r="G21" s="308">
        <v>39076312</v>
      </c>
      <c r="H21" s="23">
        <f t="shared" si="1"/>
        <v>551.65</v>
      </c>
      <c r="I21" s="23"/>
      <c r="J21" s="23">
        <f t="shared" si="4"/>
        <v>551650</v>
      </c>
      <c r="K21" s="308">
        <f>+K19</f>
        <v>17818623</v>
      </c>
      <c r="L21" s="308">
        <f>+L19</f>
        <v>18096437</v>
      </c>
      <c r="M21" s="23">
        <f t="shared" si="2"/>
        <v>-277814</v>
      </c>
      <c r="O21" s="308">
        <f>+O19</f>
        <v>65483031</v>
      </c>
      <c r="P21" s="308">
        <f>+P19</f>
        <v>64653567</v>
      </c>
      <c r="Q21" s="23">
        <f t="shared" si="3"/>
        <v>829464</v>
      </c>
    </row>
    <row r="22" spans="1:19" ht="20.25" customHeight="1" thickBot="1">
      <c r="B22" s="313" t="s">
        <v>164</v>
      </c>
      <c r="C22" s="302" t="s">
        <v>1</v>
      </c>
      <c r="D22" s="314"/>
      <c r="E22" s="315"/>
      <c r="F22" s="315"/>
      <c r="G22" s="315"/>
      <c r="H22" s="23">
        <f t="shared" si="1"/>
        <v>0</v>
      </c>
      <c r="I22" s="23"/>
      <c r="J22" s="23"/>
      <c r="K22" s="314"/>
      <c r="L22" s="315"/>
      <c r="M22" s="23">
        <f t="shared" si="2"/>
        <v>0</v>
      </c>
      <c r="O22" s="314"/>
      <c r="P22" s="315"/>
    </row>
    <row r="23" spans="1:19" ht="19.5" customHeight="1" thickBot="1">
      <c r="B23" s="316" t="s">
        <v>165</v>
      </c>
      <c r="C23" s="299"/>
      <c r="D23" s="317">
        <f>+D21-D24</f>
        <v>40013406</v>
      </c>
      <c r="E23" s="317">
        <f>+E21-E24</f>
        <v>40086479</v>
      </c>
      <c r="F23" s="317">
        <v>468864</v>
      </c>
      <c r="G23" s="317">
        <v>38205220</v>
      </c>
      <c r="H23" s="23">
        <f t="shared" si="1"/>
        <v>-73.072999999999993</v>
      </c>
      <c r="I23" s="23"/>
      <c r="J23" s="23">
        <f t="shared" si="4"/>
        <v>-73073</v>
      </c>
      <c r="K23" s="317">
        <f>+K21-K24</f>
        <v>8247776</v>
      </c>
      <c r="L23" s="317">
        <f>+L21-L24</f>
        <v>8732429</v>
      </c>
      <c r="M23" s="23">
        <f t="shared" si="2"/>
        <v>-484653</v>
      </c>
      <c r="O23" s="317">
        <f>+O21-O24</f>
        <v>31765630</v>
      </c>
      <c r="P23" s="317">
        <f>+P21-P24</f>
        <v>31354050</v>
      </c>
      <c r="Q23" s="23">
        <f t="shared" si="3"/>
        <v>411580</v>
      </c>
      <c r="R23" s="343">
        <f>+Q23/O23</f>
        <v>1.2956771202082251E-2</v>
      </c>
      <c r="S23" s="20">
        <f>+O23*8.2%</f>
        <v>2604781.6599999997</v>
      </c>
    </row>
    <row r="24" spans="1:19" ht="15" customHeight="1" thickBot="1">
      <c r="B24" s="302" t="s">
        <v>166</v>
      </c>
      <c r="C24" s="304">
        <v>4</v>
      </c>
      <c r="D24" s="303">
        <f>+'[3]Estado de Resultado'!D22</f>
        <v>43288248</v>
      </c>
      <c r="E24" s="303">
        <f>+'[3]Estado de Resultado'!E22</f>
        <v>42663525</v>
      </c>
      <c r="F24" s="303"/>
      <c r="G24" s="303">
        <v>871092</v>
      </c>
      <c r="H24" s="23">
        <f t="shared" si="1"/>
        <v>624.72299999999996</v>
      </c>
      <c r="I24" s="23"/>
      <c r="J24" s="23">
        <f t="shared" si="4"/>
        <v>624723</v>
      </c>
      <c r="K24" s="303">
        <f>+'[3]Estado de Resultado'!F22</f>
        <v>9570847</v>
      </c>
      <c r="L24" s="303">
        <f>+'[3]Estado de Resultado'!G22</f>
        <v>9364008</v>
      </c>
      <c r="M24" s="23">
        <f t="shared" si="2"/>
        <v>206839</v>
      </c>
      <c r="O24" s="303">
        <f>+'[3]Estado de Resultado'!I22</f>
        <v>33717401</v>
      </c>
      <c r="P24" s="303">
        <f>+'[3]Estado de Resultado'!J22</f>
        <v>33299517</v>
      </c>
      <c r="Q24" s="23">
        <f t="shared" si="3"/>
        <v>417884</v>
      </c>
    </row>
    <row r="25" spans="1:19" ht="15" customHeight="1" thickBot="1">
      <c r="B25" s="300" t="s">
        <v>167</v>
      </c>
      <c r="C25" s="300"/>
      <c r="D25" s="308">
        <f>+D24+D23</f>
        <v>83301654</v>
      </c>
      <c r="E25" s="308">
        <f>+E24+E23</f>
        <v>82750004</v>
      </c>
      <c r="F25" s="308">
        <v>468864</v>
      </c>
      <c r="G25" s="308">
        <v>39076312</v>
      </c>
      <c r="H25" s="23">
        <f t="shared" si="1"/>
        <v>551.65</v>
      </c>
      <c r="I25" s="23"/>
      <c r="J25" s="23">
        <f t="shared" si="4"/>
        <v>551650</v>
      </c>
      <c r="K25" s="308">
        <f>+K24+K23</f>
        <v>17818623</v>
      </c>
      <c r="L25" s="308">
        <f>+L24+L23</f>
        <v>18096437</v>
      </c>
      <c r="M25" s="23">
        <f t="shared" si="2"/>
        <v>-277814</v>
      </c>
      <c r="O25" s="308">
        <f>+O24+O23</f>
        <v>65483031</v>
      </c>
      <c r="P25" s="308">
        <f>+P24+P23</f>
        <v>64653567</v>
      </c>
      <c r="Q25" s="23">
        <f t="shared" si="3"/>
        <v>829464</v>
      </c>
    </row>
    <row r="26" spans="1:19" ht="15" customHeight="1" thickBot="1">
      <c r="B26" s="318" t="s">
        <v>168</v>
      </c>
      <c r="C26" s="302"/>
      <c r="D26" s="311"/>
      <c r="E26" s="315"/>
      <c r="F26" s="315"/>
      <c r="G26" s="315"/>
      <c r="H26" s="23">
        <f t="shared" si="1"/>
        <v>0</v>
      </c>
      <c r="I26" s="23"/>
      <c r="J26" s="23">
        <f t="shared" si="4"/>
        <v>0</v>
      </c>
      <c r="K26" s="311"/>
      <c r="L26" s="315"/>
      <c r="M26" s="23">
        <f t="shared" si="2"/>
        <v>0</v>
      </c>
      <c r="O26" s="311"/>
      <c r="P26" s="315"/>
    </row>
    <row r="27" spans="1:19" ht="15" customHeight="1" thickBot="1">
      <c r="B27" s="302" t="s">
        <v>169</v>
      </c>
      <c r="C27" s="304"/>
      <c r="D27" s="319">
        <f>+'[3]Estado de Resultado'!$D$25</f>
        <v>40.013406000000003</v>
      </c>
      <c r="E27" s="319">
        <f>+'[3]Estado de Resultado'!$E$25</f>
        <v>40.086478999999997</v>
      </c>
      <c r="F27" s="319">
        <v>7.662472129519364E-2</v>
      </c>
      <c r="G27" s="319">
        <v>6.2437387697105304</v>
      </c>
      <c r="H27" s="23">
        <f t="shared" si="1"/>
        <v>-7.3072999999993722E-5</v>
      </c>
      <c r="I27" s="23"/>
      <c r="J27" s="23"/>
      <c r="K27" s="319">
        <f>+'[3]Estado de Resultado'!$F$25</f>
        <v>8.247776</v>
      </c>
      <c r="L27" s="319">
        <f>+'[3]Estado de Resultado'!$G$25</f>
        <v>8.7324289999999998</v>
      </c>
      <c r="M27" s="23">
        <f t="shared" si="2"/>
        <v>-0.48465299999999978</v>
      </c>
      <c r="O27" s="319">
        <f>+'[3]Estado de Resultado'!$I$25</f>
        <v>31.765630000000002</v>
      </c>
      <c r="P27" s="319">
        <f>+'[3]Estado de Resultado'!$J$25</f>
        <v>31.354050000000001</v>
      </c>
    </row>
    <row r="28" spans="1:19" ht="15" customHeight="1" thickBot="1">
      <c r="B28" s="296" t="s">
        <v>170</v>
      </c>
      <c r="C28" s="307">
        <v>24</v>
      </c>
      <c r="D28" s="320">
        <f>+D27</f>
        <v>40.013406000000003</v>
      </c>
      <c r="E28" s="320">
        <f>+E27</f>
        <v>40.086478999999997</v>
      </c>
      <c r="F28" s="320">
        <v>7.662472129519364E-2</v>
      </c>
      <c r="G28" s="320">
        <v>6.2437387697105304</v>
      </c>
      <c r="H28" s="23">
        <f t="shared" si="1"/>
        <v>-7.3072999999993722E-5</v>
      </c>
      <c r="I28" s="23"/>
      <c r="J28" s="23"/>
      <c r="K28" s="320">
        <f>+K27</f>
        <v>8.247776</v>
      </c>
      <c r="L28" s="320">
        <f>+L27</f>
        <v>8.7324289999999998</v>
      </c>
      <c r="M28" s="23">
        <f t="shared" si="2"/>
        <v>-0.48465299999999978</v>
      </c>
      <c r="O28" s="320">
        <f>+O27</f>
        <v>31.765630000000002</v>
      </c>
      <c r="P28" s="320">
        <f>+P27</f>
        <v>31.354050000000001</v>
      </c>
    </row>
    <row r="29" spans="1:19" ht="9" hidden="1" customHeight="1" thickBot="1">
      <c r="B29" s="74"/>
      <c r="C29" s="73"/>
      <c r="D29" s="73"/>
      <c r="E29" s="73"/>
      <c r="F29" s="26"/>
      <c r="G29" s="26"/>
      <c r="H29" s="23"/>
      <c r="I29" s="23"/>
      <c r="J29" s="23"/>
    </row>
    <row r="30" spans="1:19" ht="15" hidden="1" customHeight="1" thickBot="1">
      <c r="B30" s="55" t="s">
        <v>163</v>
      </c>
      <c r="C30" s="55"/>
      <c r="D30" s="52"/>
      <c r="E30" s="52"/>
      <c r="F30" s="17"/>
      <c r="G30" s="17"/>
      <c r="H30" s="23"/>
      <c r="I30" s="23"/>
      <c r="J30" s="23"/>
    </row>
    <row r="31" spans="1:19" ht="24.75" hidden="1" customHeight="1" thickBot="1">
      <c r="B31" s="75" t="s">
        <v>171</v>
      </c>
      <c r="C31" s="47" t="s">
        <v>1</v>
      </c>
      <c r="D31" s="72"/>
      <c r="E31" s="73"/>
      <c r="F31" s="25"/>
      <c r="G31" s="26"/>
      <c r="H31" s="23"/>
      <c r="I31" s="23"/>
      <c r="J31" s="23"/>
    </row>
    <row r="32" spans="1:19" ht="15.75" hidden="1" customHeight="1" thickBot="1">
      <c r="B32" s="47" t="s">
        <v>172</v>
      </c>
      <c r="C32" s="47"/>
      <c r="D32" s="35"/>
      <c r="E32" s="49"/>
      <c r="G32" s="16"/>
      <c r="H32" s="23"/>
      <c r="I32" s="23"/>
      <c r="J32" s="23"/>
    </row>
    <row r="33" spans="2:10" ht="16.5" hidden="1" customHeight="1" thickBot="1">
      <c r="B33" s="76" t="s">
        <v>173</v>
      </c>
      <c r="C33" s="47"/>
      <c r="D33" s="49"/>
      <c r="E33" s="61"/>
      <c r="F33" s="16"/>
      <c r="G33" s="19"/>
      <c r="H33" s="23"/>
      <c r="I33" s="23"/>
      <c r="J33" s="23"/>
    </row>
    <row r="34" spans="2:10" ht="15" hidden="1" customHeight="1" thickBot="1">
      <c r="B34" s="55" t="s">
        <v>174</v>
      </c>
      <c r="C34" s="55"/>
      <c r="D34" s="52"/>
      <c r="E34" s="52"/>
      <c r="F34" s="17"/>
      <c r="G34" s="17"/>
      <c r="H34" s="23"/>
      <c r="I34" s="23"/>
      <c r="J34" s="23"/>
    </row>
    <row r="35" spans="2:10" ht="9.75" hidden="1" customHeight="1" thickBot="1">
      <c r="B35" s="74"/>
      <c r="C35" s="44"/>
      <c r="D35" s="44"/>
      <c r="E35" s="44"/>
      <c r="F35" s="18"/>
      <c r="G35" s="18"/>
      <c r="H35" s="23"/>
      <c r="I35" s="23"/>
      <c r="J35" s="23"/>
    </row>
    <row r="36" spans="2:10" ht="26.25" hidden="1" customHeight="1" thickBot="1">
      <c r="B36" s="75" t="s">
        <v>175</v>
      </c>
      <c r="C36" s="77"/>
      <c r="D36" s="78"/>
      <c r="E36" s="78"/>
      <c r="F36" s="27"/>
      <c r="G36" s="27"/>
      <c r="H36" s="23"/>
      <c r="I36" s="23"/>
      <c r="J36" s="23"/>
    </row>
    <row r="37" spans="2:10" ht="21" hidden="1" customHeight="1" thickBot="1">
      <c r="B37" s="79" t="s">
        <v>176</v>
      </c>
      <c r="C37" s="55"/>
      <c r="D37" s="52"/>
      <c r="E37" s="52"/>
      <c r="F37" s="17"/>
      <c r="G37" s="17"/>
      <c r="H37" s="23"/>
      <c r="I37" s="23"/>
      <c r="J37" s="23"/>
    </row>
    <row r="38" spans="2:10" ht="17.25" hidden="1" customHeight="1" thickBot="1">
      <c r="B38" s="47" t="s">
        <v>177</v>
      </c>
      <c r="C38" s="47"/>
      <c r="D38" s="49"/>
      <c r="E38" s="49"/>
      <c r="F38" s="16"/>
      <c r="G38" s="16"/>
      <c r="H38" s="23"/>
      <c r="I38" s="23"/>
      <c r="J38" s="23"/>
    </row>
    <row r="39" spans="2:10" ht="13.5" hidden="1" customHeight="1" thickBot="1">
      <c r="B39" s="55" t="s">
        <v>178</v>
      </c>
      <c r="C39" s="55"/>
      <c r="D39" s="52"/>
      <c r="E39" s="52"/>
      <c r="F39" s="17"/>
      <c r="G39" s="17"/>
      <c r="H39" s="23"/>
      <c r="I39" s="23"/>
      <c r="J39" s="23"/>
    </row>
    <row r="40" spans="2:10">
      <c r="B40" s="35"/>
      <c r="C40" s="35"/>
      <c r="D40" s="35"/>
      <c r="E40" s="35"/>
      <c r="H40" s="23"/>
      <c r="I40" s="23"/>
      <c r="J40" s="23"/>
    </row>
    <row r="41" spans="2:10" ht="7.5" customHeight="1">
      <c r="B41" s="35"/>
      <c r="C41" s="35"/>
      <c r="D41" s="35"/>
      <c r="E41" s="35"/>
      <c r="H41" s="23"/>
      <c r="I41" s="23"/>
      <c r="J41" s="23"/>
    </row>
    <row r="42" spans="2:10" ht="11.25" customHeight="1">
      <c r="B42" s="35"/>
      <c r="C42" s="35"/>
      <c r="D42" s="35"/>
      <c r="E42" s="35"/>
      <c r="H42" s="23"/>
      <c r="I42" s="23"/>
      <c r="J42" s="23"/>
    </row>
    <row r="43" spans="2:10">
      <c r="B43" s="35"/>
      <c r="C43" s="35"/>
      <c r="D43" s="35"/>
      <c r="E43" s="35"/>
      <c r="H43" s="23"/>
      <c r="I43" s="23"/>
      <c r="J43" s="23"/>
    </row>
    <row r="44" spans="2:10">
      <c r="D44" s="23"/>
      <c r="F44" s="23"/>
    </row>
    <row r="45" spans="2:10">
      <c r="D45" s="23"/>
      <c r="F45" s="23"/>
    </row>
    <row r="46" spans="2:10">
      <c r="D46" s="23"/>
      <c r="F46" s="23"/>
    </row>
  </sheetData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82"/>
  <sheetViews>
    <sheetView showGridLines="0" workbookViewId="0">
      <selection activeCell="H22" sqref="H22"/>
    </sheetView>
  </sheetViews>
  <sheetFormatPr baseColWidth="10" defaultRowHeight="12.75"/>
  <cols>
    <col min="1" max="1" width="7.42578125" style="30" customWidth="1"/>
    <col min="2" max="2" width="84.5703125" style="30" customWidth="1"/>
    <col min="3" max="3" width="7.5703125" style="29" customWidth="1"/>
    <col min="4" max="4" width="16.28515625" style="30" hidden="1" customWidth="1"/>
    <col min="5" max="5" width="16.5703125" style="30" hidden="1" customWidth="1"/>
    <col min="6" max="7" width="13.7109375" style="30" bestFit="1" customWidth="1"/>
    <col min="8" max="8" width="11.42578125" style="36"/>
    <col min="9" max="16384" width="11.42578125" style="30"/>
  </cols>
  <sheetData>
    <row r="1" spans="2:9">
      <c r="B1" s="28"/>
    </row>
    <row r="2" spans="2:9" ht="22.5" customHeight="1" thickBot="1"/>
    <row r="3" spans="2:9" ht="13.5" thickBot="1">
      <c r="B3" s="401" t="s">
        <v>179</v>
      </c>
      <c r="C3" s="403" t="s">
        <v>180</v>
      </c>
      <c r="D3" s="80"/>
      <c r="E3" s="80"/>
      <c r="F3" s="81">
        <v>41729</v>
      </c>
      <c r="G3" s="81">
        <v>41364</v>
      </c>
    </row>
    <row r="4" spans="2:9" ht="13.5" thickBot="1">
      <c r="B4" s="402"/>
      <c r="C4" s="404"/>
      <c r="D4" s="82" t="s">
        <v>285</v>
      </c>
      <c r="E4" s="82" t="s">
        <v>285</v>
      </c>
      <c r="F4" s="289" t="s">
        <v>284</v>
      </c>
      <c r="G4" s="83" t="s">
        <v>284</v>
      </c>
      <c r="H4" s="39" t="s">
        <v>286</v>
      </c>
    </row>
    <row r="5" spans="2:9" ht="18" customHeight="1" thickBot="1">
      <c r="B5" s="405" t="s">
        <v>181</v>
      </c>
      <c r="C5" s="406"/>
      <c r="D5" s="406"/>
      <c r="E5" s="406"/>
      <c r="F5" s="406"/>
      <c r="G5" s="407"/>
    </row>
    <row r="6" spans="2:9" s="31" customFormat="1" ht="18" customHeight="1" thickBot="1">
      <c r="B6" s="84" t="s">
        <v>182</v>
      </c>
      <c r="C6" s="85"/>
      <c r="D6" s="86">
        <v>125394214912</v>
      </c>
      <c r="E6" s="86">
        <v>111039717620.4024</v>
      </c>
      <c r="F6" s="86">
        <f>+'[3]Flujo '!D6</f>
        <v>389721926</v>
      </c>
      <c r="G6" s="86">
        <f>+'[3]Flujo '!E6</f>
        <v>348192586</v>
      </c>
      <c r="H6" s="333">
        <f>+(F6-G6)/1000</f>
        <v>41529.339999999997</v>
      </c>
      <c r="I6" s="30"/>
    </row>
    <row r="7" spans="2:9" s="31" customFormat="1" ht="18" hidden="1" customHeight="1" thickBot="1">
      <c r="B7" s="84" t="s">
        <v>184</v>
      </c>
      <c r="C7" s="85"/>
      <c r="D7" s="86">
        <v>29553022</v>
      </c>
      <c r="E7" s="86">
        <v>87052224</v>
      </c>
      <c r="F7" s="86"/>
      <c r="G7" s="86"/>
      <c r="H7" s="37">
        <f t="shared" ref="H7:H69" si="0">+(F7-G7)/1000</f>
        <v>0</v>
      </c>
      <c r="I7" s="30"/>
    </row>
    <row r="8" spans="2:9" s="31" customFormat="1" ht="18" customHeight="1" thickBot="1">
      <c r="B8" s="84" t="s">
        <v>183</v>
      </c>
      <c r="C8" s="85"/>
      <c r="D8" s="86">
        <v>0</v>
      </c>
      <c r="E8" s="86">
        <v>0</v>
      </c>
      <c r="F8" s="86">
        <f>+'[3]Flujo '!D8</f>
        <v>0</v>
      </c>
      <c r="G8" s="86">
        <f>+'[3]Flujo '!E8</f>
        <v>0</v>
      </c>
      <c r="H8" s="37">
        <f t="shared" si="0"/>
        <v>0</v>
      </c>
      <c r="I8" s="30"/>
    </row>
    <row r="9" spans="2:9" s="31" customFormat="1" ht="18" customHeight="1" thickBot="1">
      <c r="B9" s="84" t="s">
        <v>185</v>
      </c>
      <c r="C9" s="85"/>
      <c r="D9" s="86">
        <v>46812419</v>
      </c>
      <c r="E9" s="86">
        <v>54151529</v>
      </c>
      <c r="F9" s="86">
        <f>+'[3]Flujo '!D9</f>
        <v>574789</v>
      </c>
      <c r="G9" s="86">
        <f>+'[3]Flujo '!E9</f>
        <v>1560826</v>
      </c>
      <c r="H9" s="37">
        <f t="shared" si="0"/>
        <v>-986.03700000000003</v>
      </c>
      <c r="I9" s="30"/>
    </row>
    <row r="10" spans="2:9" s="31" customFormat="1" ht="18" customHeight="1" thickBot="1">
      <c r="B10" s="84" t="s">
        <v>186</v>
      </c>
      <c r="C10" s="85"/>
      <c r="D10" s="86">
        <v>532893135</v>
      </c>
      <c r="E10" s="86">
        <v>500888416</v>
      </c>
      <c r="F10" s="86">
        <f>+'[3]Flujo '!D11</f>
        <v>3307161</v>
      </c>
      <c r="G10" s="86">
        <f>+'[3]Flujo '!E11</f>
        <v>1893243</v>
      </c>
      <c r="H10" s="37">
        <f t="shared" si="0"/>
        <v>1413.9179999999999</v>
      </c>
    </row>
    <row r="11" spans="2:9" s="31" customFormat="1" ht="18" hidden="1" customHeight="1" thickBot="1">
      <c r="B11" s="408" t="s">
        <v>187</v>
      </c>
      <c r="C11" s="409"/>
      <c r="D11" s="409"/>
      <c r="E11" s="409"/>
      <c r="F11" s="409"/>
      <c r="G11" s="410"/>
      <c r="H11" s="37"/>
    </row>
    <row r="12" spans="2:9" s="31" customFormat="1" ht="18" customHeight="1" thickBot="1">
      <c r="B12" s="84" t="s">
        <v>188</v>
      </c>
      <c r="C12" s="85"/>
      <c r="D12" s="86">
        <v>-29671975518</v>
      </c>
      <c r="E12" s="86">
        <v>-27829853516</v>
      </c>
      <c r="F12" s="86">
        <f>+'[3]Flujo '!D13</f>
        <v>-111664335</v>
      </c>
      <c r="G12" s="86">
        <f>+'[3]Flujo '!E13</f>
        <v>-93956819</v>
      </c>
      <c r="H12" s="333">
        <f t="shared" si="0"/>
        <v>-17707.516</v>
      </c>
    </row>
    <row r="13" spans="2:9" s="31" customFormat="1" ht="18" hidden="1" customHeight="1" thickBot="1">
      <c r="B13" s="84" t="s">
        <v>189</v>
      </c>
      <c r="C13" s="85"/>
      <c r="D13" s="86">
        <v>0</v>
      </c>
      <c r="E13" s="86">
        <v>0</v>
      </c>
      <c r="F13" s="86"/>
      <c r="G13" s="86"/>
      <c r="H13" s="37">
        <f t="shared" si="0"/>
        <v>0</v>
      </c>
    </row>
    <row r="14" spans="2:9" s="31" customFormat="1" ht="18" customHeight="1" thickBot="1">
      <c r="B14" s="84" t="s">
        <v>190</v>
      </c>
      <c r="C14" s="85"/>
      <c r="D14" s="86">
        <v>-12474545924</v>
      </c>
      <c r="E14" s="86">
        <v>-11664493353</v>
      </c>
      <c r="F14" s="86">
        <f>+'[3]Flujo '!D15</f>
        <v>-35092614</v>
      </c>
      <c r="G14" s="86">
        <f>+'[3]Flujo '!E15</f>
        <v>-31250927</v>
      </c>
      <c r="H14" s="37">
        <f t="shared" si="0"/>
        <v>-3841.6869999999999</v>
      </c>
    </row>
    <row r="15" spans="2:9" s="31" customFormat="1" ht="18" customHeight="1" thickBot="1">
      <c r="B15" s="84" t="s">
        <v>191</v>
      </c>
      <c r="C15" s="87"/>
      <c r="D15" s="86">
        <v>-40356920</v>
      </c>
      <c r="E15" s="86">
        <v>-3629207</v>
      </c>
      <c r="F15" s="86">
        <f>+'[3]Flujo '!D16</f>
        <v>-2892332</v>
      </c>
      <c r="G15" s="86">
        <f>+'[3]Flujo '!E16</f>
        <v>-476428</v>
      </c>
      <c r="H15" s="37">
        <f t="shared" si="0"/>
        <v>-2415.904</v>
      </c>
      <c r="I15" s="30"/>
    </row>
    <row r="16" spans="2:9" s="31" customFormat="1" ht="18" customHeight="1" thickBot="1">
      <c r="B16" s="84" t="s">
        <v>192</v>
      </c>
      <c r="C16" s="85"/>
      <c r="D16" s="86">
        <v>-11838137096</v>
      </c>
      <c r="E16" s="86">
        <v>-11328302524</v>
      </c>
      <c r="F16" s="86">
        <f>+'[3]Flujo '!D18</f>
        <v>-39530257</v>
      </c>
      <c r="G16" s="86">
        <f>+'[3]Flujo '!E18</f>
        <v>-32710675</v>
      </c>
      <c r="H16" s="333">
        <f t="shared" si="0"/>
        <v>-6819.5820000000003</v>
      </c>
      <c r="I16" s="30"/>
    </row>
    <row r="17" spans="2:10" s="31" customFormat="1" ht="18" hidden="1" customHeight="1" thickBot="1">
      <c r="B17" s="84" t="s">
        <v>193</v>
      </c>
      <c r="C17" s="85"/>
      <c r="D17" s="86">
        <v>0</v>
      </c>
      <c r="E17" s="86">
        <v>0</v>
      </c>
      <c r="F17" s="86"/>
      <c r="G17" s="86"/>
      <c r="H17" s="37">
        <f t="shared" si="0"/>
        <v>0</v>
      </c>
    </row>
    <row r="18" spans="2:10" s="31" customFormat="1" ht="18" hidden="1" customHeight="1" thickBot="1">
      <c r="B18" s="84" t="s">
        <v>194</v>
      </c>
      <c r="C18" s="85"/>
      <c r="D18" s="86">
        <v>0</v>
      </c>
      <c r="E18" s="86">
        <v>0</v>
      </c>
      <c r="F18" s="86"/>
      <c r="G18" s="86"/>
      <c r="H18" s="37">
        <f t="shared" si="0"/>
        <v>0</v>
      </c>
    </row>
    <row r="19" spans="2:10" s="31" customFormat="1" ht="18" customHeight="1" thickBot="1">
      <c r="B19" s="84" t="s">
        <v>195</v>
      </c>
      <c r="C19" s="85"/>
      <c r="D19" s="86">
        <v>-3685818487</v>
      </c>
      <c r="E19" s="86">
        <v>-5137079422</v>
      </c>
      <c r="F19" s="86">
        <f>+'[3]Flujo '!D22</f>
        <v>-18268082</v>
      </c>
      <c r="G19" s="86">
        <f>+'[3]Flujo '!E22</f>
        <v>-18236269</v>
      </c>
      <c r="H19" s="37">
        <f t="shared" si="0"/>
        <v>-31.812999999999999</v>
      </c>
    </row>
    <row r="20" spans="2:10" s="31" customFormat="1" ht="18" customHeight="1" thickBot="1">
      <c r="B20" s="84" t="s">
        <v>196</v>
      </c>
      <c r="C20" s="85"/>
      <c r="D20" s="86">
        <v>404703651</v>
      </c>
      <c r="E20" s="86">
        <v>57149333</v>
      </c>
      <c r="F20" s="86">
        <f>+'[3]Flujo '!D23</f>
        <v>1194848</v>
      </c>
      <c r="G20" s="86">
        <f>+'[3]Flujo '!E23</f>
        <v>2334889</v>
      </c>
      <c r="H20" s="37">
        <f t="shared" si="0"/>
        <v>-1140.0409999999999</v>
      </c>
    </row>
    <row r="21" spans="2:10" s="31" customFormat="1" ht="18" customHeight="1" thickBot="1">
      <c r="B21" s="84" t="s">
        <v>197</v>
      </c>
      <c r="C21" s="85"/>
      <c r="D21" s="86">
        <v>-8999279951</v>
      </c>
      <c r="E21" s="86">
        <v>-8936102428.0529995</v>
      </c>
      <c r="F21" s="86">
        <f>+'[3]Flujo '!D24</f>
        <v>-22581510</v>
      </c>
      <c r="G21" s="86">
        <f>+'[3]Flujo '!E24</f>
        <v>-23636401</v>
      </c>
      <c r="H21" s="37">
        <f t="shared" si="0"/>
        <v>1054.8910000000001</v>
      </c>
      <c r="J21" s="264"/>
    </row>
    <row r="22" spans="2:10" s="31" customFormat="1" ht="18" customHeight="1" thickBot="1">
      <c r="B22" s="84" t="s">
        <v>198</v>
      </c>
      <c r="C22" s="85"/>
      <c r="D22" s="86">
        <v>-226252944</v>
      </c>
      <c r="E22" s="86">
        <v>-1146628457</v>
      </c>
      <c r="F22" s="86">
        <f>+'[3]Flujo '!D25</f>
        <v>-4061119</v>
      </c>
      <c r="G22" s="86">
        <f>+'[3]Flujo '!E25</f>
        <v>-1830598</v>
      </c>
      <c r="H22" s="37">
        <f t="shared" si="0"/>
        <v>-2230.5210000000002</v>
      </c>
      <c r="J22" s="264"/>
    </row>
    <row r="23" spans="2:10" s="31" customFormat="1" ht="18" customHeight="1" thickBot="1">
      <c r="B23" s="88" t="s">
        <v>99</v>
      </c>
      <c r="C23" s="89"/>
      <c r="D23" s="90">
        <f>SUM(D6:D22)</f>
        <v>59471810299</v>
      </c>
      <c r="E23" s="90">
        <f>SUM(E6:E22)</f>
        <v>45692870215.349403</v>
      </c>
      <c r="F23" s="90">
        <f>SUM(F6:F22)</f>
        <v>160708475</v>
      </c>
      <c r="G23" s="90">
        <f>SUM(G6:G22)</f>
        <v>151883427</v>
      </c>
      <c r="H23" s="37">
        <f t="shared" si="0"/>
        <v>8825.0480000000007</v>
      </c>
      <c r="J23" s="264"/>
    </row>
    <row r="24" spans="2:10" s="31" customFormat="1" ht="18.75" hidden="1" customHeight="1" thickBot="1">
      <c r="B24" s="389"/>
      <c r="C24" s="390"/>
      <c r="D24" s="390"/>
      <c r="E24" s="390"/>
      <c r="F24" s="390"/>
      <c r="G24" s="391"/>
      <c r="H24" s="37"/>
    </row>
    <row r="25" spans="2:10" s="31" customFormat="1" ht="18" hidden="1" customHeight="1" thickBot="1">
      <c r="B25" s="84" t="s">
        <v>199</v>
      </c>
      <c r="C25" s="85"/>
      <c r="D25" s="86">
        <v>0</v>
      </c>
      <c r="E25" s="86">
        <v>0</v>
      </c>
      <c r="F25" s="91">
        <f t="shared" ref="F25:G32" si="1">+D25/1000</f>
        <v>0</v>
      </c>
      <c r="G25" s="91">
        <f t="shared" si="1"/>
        <v>0</v>
      </c>
      <c r="H25" s="37">
        <f t="shared" si="0"/>
        <v>0</v>
      </c>
    </row>
    <row r="26" spans="2:10" s="31" customFormat="1" ht="18" hidden="1" customHeight="1" thickBot="1">
      <c r="B26" s="84" t="s">
        <v>200</v>
      </c>
      <c r="C26" s="85"/>
      <c r="D26" s="86">
        <v>0</v>
      </c>
      <c r="E26" s="86">
        <v>0</v>
      </c>
      <c r="F26" s="91">
        <f t="shared" si="1"/>
        <v>0</v>
      </c>
      <c r="G26" s="91">
        <f t="shared" si="1"/>
        <v>0</v>
      </c>
      <c r="H26" s="37">
        <f t="shared" si="0"/>
        <v>0</v>
      </c>
    </row>
    <row r="27" spans="2:10" s="31" customFormat="1" ht="18" hidden="1" customHeight="1" thickBot="1">
      <c r="B27" s="84" t="s">
        <v>201</v>
      </c>
      <c r="C27" s="85"/>
      <c r="D27" s="86">
        <v>0</v>
      </c>
      <c r="E27" s="86">
        <v>0</v>
      </c>
      <c r="F27" s="91">
        <f t="shared" si="1"/>
        <v>0</v>
      </c>
      <c r="G27" s="91">
        <f t="shared" si="1"/>
        <v>0</v>
      </c>
      <c r="H27" s="37">
        <f t="shared" si="0"/>
        <v>0</v>
      </c>
    </row>
    <row r="28" spans="2:10" s="31" customFormat="1" ht="18" hidden="1" customHeight="1" thickBot="1">
      <c r="B28" s="84" t="s">
        <v>202</v>
      </c>
      <c r="C28" s="85"/>
      <c r="D28" s="86">
        <v>0</v>
      </c>
      <c r="E28" s="86">
        <v>0</v>
      </c>
      <c r="F28" s="91">
        <f t="shared" si="1"/>
        <v>0</v>
      </c>
      <c r="G28" s="91">
        <f t="shared" si="1"/>
        <v>0</v>
      </c>
      <c r="H28" s="37">
        <f t="shared" si="0"/>
        <v>0</v>
      </c>
    </row>
    <row r="29" spans="2:10" s="31" customFormat="1" ht="18" hidden="1" customHeight="1" thickBot="1">
      <c r="B29" s="84" t="s">
        <v>203</v>
      </c>
      <c r="C29" s="85"/>
      <c r="D29" s="86">
        <v>0</v>
      </c>
      <c r="E29" s="86">
        <v>0</v>
      </c>
      <c r="F29" s="91">
        <f t="shared" si="1"/>
        <v>0</v>
      </c>
      <c r="G29" s="91">
        <f t="shared" si="1"/>
        <v>0</v>
      </c>
      <c r="H29" s="37">
        <f t="shared" si="0"/>
        <v>0</v>
      </c>
    </row>
    <row r="30" spans="2:10" s="31" customFormat="1" ht="18" hidden="1" customHeight="1" thickBot="1">
      <c r="B30" s="84" t="s">
        <v>204</v>
      </c>
      <c r="C30" s="85"/>
      <c r="D30" s="86">
        <v>0</v>
      </c>
      <c r="E30" s="86">
        <v>0</v>
      </c>
      <c r="F30" s="91">
        <f t="shared" si="1"/>
        <v>0</v>
      </c>
      <c r="G30" s="91">
        <f t="shared" si="1"/>
        <v>0</v>
      </c>
      <c r="H30" s="37">
        <f t="shared" si="0"/>
        <v>0</v>
      </c>
    </row>
    <row r="31" spans="2:10" s="31" customFormat="1" ht="18" hidden="1" customHeight="1" thickBot="1">
      <c r="B31" s="84" t="s">
        <v>205</v>
      </c>
      <c r="C31" s="85"/>
      <c r="D31" s="86">
        <v>0</v>
      </c>
      <c r="E31" s="86">
        <v>0</v>
      </c>
      <c r="F31" s="91">
        <f t="shared" si="1"/>
        <v>0</v>
      </c>
      <c r="G31" s="91">
        <f t="shared" si="1"/>
        <v>0</v>
      </c>
      <c r="H31" s="37">
        <f t="shared" si="0"/>
        <v>0</v>
      </c>
    </row>
    <row r="32" spans="2:10" s="31" customFormat="1" ht="18" hidden="1" customHeight="1" thickBot="1">
      <c r="B32" s="84" t="s">
        <v>206</v>
      </c>
      <c r="C32" s="85"/>
      <c r="D32" s="86">
        <v>0</v>
      </c>
      <c r="E32" s="86">
        <v>0</v>
      </c>
      <c r="F32" s="91">
        <f t="shared" si="1"/>
        <v>0</v>
      </c>
      <c r="G32" s="91">
        <f t="shared" si="1"/>
        <v>0</v>
      </c>
      <c r="H32" s="37">
        <f t="shared" si="0"/>
        <v>0</v>
      </c>
    </row>
    <row r="33" spans="2:10" s="31" customFormat="1" ht="18" customHeight="1" thickBot="1">
      <c r="B33" s="84" t="s">
        <v>207</v>
      </c>
      <c r="C33" s="85"/>
      <c r="D33" s="86">
        <v>195217233</v>
      </c>
      <c r="E33" s="86">
        <v>29828261</v>
      </c>
      <c r="F33" s="91">
        <f>+'[3]Flujo '!D35</f>
        <v>378665</v>
      </c>
      <c r="G33" s="91">
        <f>+'[3]Flujo '!E35</f>
        <v>24952</v>
      </c>
      <c r="H33" s="37">
        <f t="shared" si="0"/>
        <v>353.71300000000002</v>
      </c>
      <c r="J33" s="264"/>
    </row>
    <row r="34" spans="2:10" s="31" customFormat="1" ht="18" customHeight="1" thickBot="1">
      <c r="B34" s="84" t="s">
        <v>208</v>
      </c>
      <c r="C34" s="85"/>
      <c r="D34" s="86">
        <v>-29446099909</v>
      </c>
      <c r="E34" s="86">
        <v>-21783530578.310001</v>
      </c>
      <c r="F34" s="86">
        <f>+'[3]Flujo '!D36</f>
        <v>-59633373</v>
      </c>
      <c r="G34" s="86">
        <f>+'[3]Flujo '!E36</f>
        <v>-85750478</v>
      </c>
      <c r="H34" s="37">
        <f t="shared" si="0"/>
        <v>26117.105</v>
      </c>
    </row>
    <row r="35" spans="2:10" s="31" customFormat="1" ht="18" hidden="1" customHeight="1" thickBot="1">
      <c r="B35" s="84" t="s">
        <v>209</v>
      </c>
      <c r="C35" s="85"/>
      <c r="D35" s="86">
        <v>0</v>
      </c>
      <c r="E35" s="86">
        <v>0</v>
      </c>
      <c r="F35" s="86"/>
      <c r="G35" s="86"/>
      <c r="H35" s="37">
        <f t="shared" si="0"/>
        <v>0</v>
      </c>
    </row>
    <row r="36" spans="2:10" s="31" customFormat="1" ht="18" customHeight="1" thickBot="1">
      <c r="B36" s="84" t="s">
        <v>210</v>
      </c>
      <c r="C36" s="85"/>
      <c r="D36" s="86">
        <v>-5000000</v>
      </c>
      <c r="E36" s="86">
        <v>-38296528</v>
      </c>
      <c r="F36" s="86">
        <f>+'[3]Flujo '!D38</f>
        <v>-84652</v>
      </c>
      <c r="G36" s="86">
        <f>+'[3]Flujo '!E38</f>
        <v>-86869</v>
      </c>
      <c r="H36" s="37">
        <f t="shared" si="0"/>
        <v>2.2170000000000001</v>
      </c>
    </row>
    <row r="37" spans="2:10" s="31" customFormat="1" ht="18" hidden="1" customHeight="1" thickBot="1">
      <c r="B37" s="84" t="s">
        <v>211</v>
      </c>
      <c r="C37" s="85"/>
      <c r="D37" s="86">
        <v>0</v>
      </c>
      <c r="E37" s="86">
        <v>0</v>
      </c>
      <c r="F37" s="86"/>
      <c r="G37" s="86"/>
      <c r="H37" s="37">
        <f t="shared" si="0"/>
        <v>0</v>
      </c>
    </row>
    <row r="38" spans="2:10" s="31" customFormat="1" ht="18" hidden="1" customHeight="1" thickBot="1">
      <c r="B38" s="84" t="s">
        <v>212</v>
      </c>
      <c r="C38" s="85"/>
      <c r="D38" s="86">
        <v>0</v>
      </c>
      <c r="E38" s="86">
        <v>0</v>
      </c>
      <c r="F38" s="86"/>
      <c r="G38" s="86"/>
      <c r="H38" s="37">
        <f t="shared" si="0"/>
        <v>0</v>
      </c>
    </row>
    <row r="39" spans="2:10" s="31" customFormat="1" ht="18" hidden="1" customHeight="1" thickBot="1">
      <c r="B39" s="84" t="s">
        <v>213</v>
      </c>
      <c r="C39" s="85"/>
      <c r="D39" s="86">
        <v>0</v>
      </c>
      <c r="E39" s="86">
        <v>0</v>
      </c>
      <c r="F39" s="86"/>
      <c r="G39" s="86"/>
      <c r="H39" s="37">
        <f t="shared" si="0"/>
        <v>0</v>
      </c>
    </row>
    <row r="40" spans="2:10" s="31" customFormat="1" ht="18" hidden="1" customHeight="1" thickBot="1">
      <c r="B40" s="84" t="s">
        <v>214</v>
      </c>
      <c r="C40" s="85"/>
      <c r="D40" s="86">
        <v>0</v>
      </c>
      <c r="E40" s="86">
        <v>0</v>
      </c>
      <c r="F40" s="86"/>
      <c r="G40" s="86"/>
      <c r="H40" s="37">
        <f t="shared" si="0"/>
        <v>0</v>
      </c>
    </row>
    <row r="41" spans="2:10" s="31" customFormat="1" ht="18" hidden="1" customHeight="1" thickBot="1">
      <c r="B41" s="84" t="s">
        <v>215</v>
      </c>
      <c r="C41" s="85"/>
      <c r="D41" s="86">
        <v>0</v>
      </c>
      <c r="E41" s="86">
        <v>0</v>
      </c>
      <c r="F41" s="86"/>
      <c r="G41" s="86"/>
      <c r="H41" s="37">
        <f t="shared" si="0"/>
        <v>0</v>
      </c>
    </row>
    <row r="42" spans="2:10" s="31" customFormat="1" ht="18" hidden="1" customHeight="1" thickBot="1">
      <c r="B42" s="84" t="s">
        <v>216</v>
      </c>
      <c r="C42" s="85"/>
      <c r="D42" s="86">
        <v>0</v>
      </c>
      <c r="E42" s="86">
        <v>0</v>
      </c>
      <c r="F42" s="86"/>
      <c r="G42" s="86"/>
      <c r="H42" s="37">
        <f t="shared" si="0"/>
        <v>0</v>
      </c>
    </row>
    <row r="43" spans="2:10" s="31" customFormat="1" ht="18" hidden="1" customHeight="1" thickBot="1">
      <c r="B43" s="84" t="s">
        <v>217</v>
      </c>
      <c r="C43" s="85"/>
      <c r="D43" s="86">
        <v>0</v>
      </c>
      <c r="E43" s="86">
        <v>0</v>
      </c>
      <c r="F43" s="86"/>
      <c r="G43" s="86"/>
      <c r="H43" s="37">
        <f t="shared" si="0"/>
        <v>0</v>
      </c>
    </row>
    <row r="44" spans="2:10" s="31" customFormat="1" ht="18" hidden="1" customHeight="1" thickBot="1">
      <c r="B44" s="84" t="s">
        <v>198</v>
      </c>
      <c r="C44" s="85"/>
      <c r="D44" s="86">
        <v>0</v>
      </c>
      <c r="E44" s="86">
        <v>0</v>
      </c>
      <c r="F44" s="86"/>
      <c r="G44" s="86"/>
      <c r="H44" s="37">
        <f t="shared" si="0"/>
        <v>0</v>
      </c>
    </row>
    <row r="45" spans="2:10" s="31" customFormat="1" ht="13.5" hidden="1" customHeight="1" thickBot="1">
      <c r="B45" s="92" t="s">
        <v>194</v>
      </c>
      <c r="C45" s="85"/>
      <c r="D45" s="86">
        <v>0</v>
      </c>
      <c r="E45" s="86">
        <v>0</v>
      </c>
      <c r="F45" s="86"/>
      <c r="G45" s="86"/>
      <c r="H45" s="37">
        <f t="shared" si="0"/>
        <v>0</v>
      </c>
    </row>
    <row r="46" spans="2:10" s="31" customFormat="1" ht="18" hidden="1" customHeight="1" thickBot="1">
      <c r="B46" s="92" t="s">
        <v>196</v>
      </c>
      <c r="C46" s="85"/>
      <c r="D46" s="86">
        <v>0</v>
      </c>
      <c r="E46" s="86">
        <v>0</v>
      </c>
      <c r="F46" s="86"/>
      <c r="G46" s="86"/>
      <c r="H46" s="37">
        <f t="shared" si="0"/>
        <v>0</v>
      </c>
    </row>
    <row r="47" spans="2:10" s="31" customFormat="1" ht="13.5" hidden="1" customHeight="1" thickBot="1">
      <c r="B47" s="84" t="s">
        <v>218</v>
      </c>
      <c r="C47" s="85"/>
      <c r="D47" s="86">
        <v>0</v>
      </c>
      <c r="E47" s="86">
        <v>0</v>
      </c>
      <c r="F47" s="86"/>
      <c r="G47" s="86"/>
      <c r="H47" s="37">
        <f t="shared" si="0"/>
        <v>0</v>
      </c>
    </row>
    <row r="48" spans="2:10" s="31" customFormat="1" ht="18" customHeight="1" thickBot="1">
      <c r="B48" s="84" t="s">
        <v>219</v>
      </c>
      <c r="C48" s="85"/>
      <c r="D48" s="86">
        <v>-3159839220</v>
      </c>
      <c r="E48" s="86">
        <v>0</v>
      </c>
      <c r="F48" s="91">
        <f>+'[3]Flujo '!D52</f>
        <v>-1582561</v>
      </c>
      <c r="G48" s="91">
        <f>+'[3]Flujo '!E52</f>
        <v>-1150569</v>
      </c>
      <c r="H48" s="37">
        <f t="shared" si="0"/>
        <v>-431.99200000000002</v>
      </c>
    </row>
    <row r="49" spans="2:8" s="31" customFormat="1" ht="18" customHeight="1" thickBot="1">
      <c r="B49" s="88" t="s">
        <v>98</v>
      </c>
      <c r="C49" s="89"/>
      <c r="D49" s="90">
        <f>SUM(D27:D48)</f>
        <v>-32415721896</v>
      </c>
      <c r="E49" s="90">
        <f>SUM(E27:E48)</f>
        <v>-21791998845.310001</v>
      </c>
      <c r="F49" s="90">
        <f>SUM(F27:F48)</f>
        <v>-60921921</v>
      </c>
      <c r="G49" s="90">
        <f>SUM(G25:G48)</f>
        <v>-86962964</v>
      </c>
      <c r="H49" s="37">
        <f t="shared" si="0"/>
        <v>26041.043000000001</v>
      </c>
    </row>
    <row r="50" spans="2:8" s="31" customFormat="1" ht="6.75" hidden="1" customHeight="1" thickBot="1">
      <c r="B50" s="389"/>
      <c r="C50" s="390"/>
      <c r="D50" s="390"/>
      <c r="E50" s="390"/>
      <c r="F50" s="390"/>
      <c r="G50" s="391"/>
      <c r="H50" s="37"/>
    </row>
    <row r="51" spans="2:8" s="31" customFormat="1" ht="18" hidden="1" customHeight="1" thickBot="1">
      <c r="B51" s="84" t="s">
        <v>220</v>
      </c>
      <c r="C51" s="85"/>
      <c r="D51" s="86">
        <v>0</v>
      </c>
      <c r="E51" s="86">
        <v>0</v>
      </c>
      <c r="F51" s="91">
        <f t="shared" ref="F51:G54" si="2">+D51/1000</f>
        <v>0</v>
      </c>
      <c r="G51" s="91">
        <f t="shared" si="2"/>
        <v>0</v>
      </c>
      <c r="H51" s="37">
        <f t="shared" si="0"/>
        <v>0</v>
      </c>
    </row>
    <row r="52" spans="2:8" s="31" customFormat="1" ht="18" hidden="1" customHeight="1" thickBot="1">
      <c r="B52" s="84" t="s">
        <v>221</v>
      </c>
      <c r="C52" s="85"/>
      <c r="D52" s="86">
        <v>0</v>
      </c>
      <c r="E52" s="86">
        <v>0</v>
      </c>
      <c r="F52" s="91">
        <f t="shared" si="2"/>
        <v>0</v>
      </c>
      <c r="G52" s="91">
        <f t="shared" si="2"/>
        <v>0</v>
      </c>
      <c r="H52" s="37">
        <f t="shared" si="0"/>
        <v>0</v>
      </c>
    </row>
    <row r="53" spans="2:8" s="31" customFormat="1" ht="18" hidden="1" customHeight="1" thickBot="1">
      <c r="B53" s="84" t="s">
        <v>222</v>
      </c>
      <c r="C53" s="85"/>
      <c r="D53" s="86">
        <v>0</v>
      </c>
      <c r="E53" s="86">
        <v>0</v>
      </c>
      <c r="F53" s="91">
        <f t="shared" si="2"/>
        <v>0</v>
      </c>
      <c r="G53" s="91">
        <f t="shared" si="2"/>
        <v>0</v>
      </c>
      <c r="H53" s="37">
        <f t="shared" si="0"/>
        <v>0</v>
      </c>
    </row>
    <row r="54" spans="2:8" s="31" customFormat="1" ht="18" hidden="1" customHeight="1" thickBot="1">
      <c r="B54" s="84" t="s">
        <v>223</v>
      </c>
      <c r="C54" s="85"/>
      <c r="D54" s="86">
        <v>0</v>
      </c>
      <c r="E54" s="86">
        <v>0</v>
      </c>
      <c r="F54" s="91">
        <f t="shared" si="2"/>
        <v>0</v>
      </c>
      <c r="G54" s="91">
        <f t="shared" si="2"/>
        <v>0</v>
      </c>
      <c r="H54" s="37">
        <f t="shared" si="0"/>
        <v>0</v>
      </c>
    </row>
    <row r="55" spans="2:8" s="31" customFormat="1" ht="18" customHeight="1" thickBot="1">
      <c r="B55" s="93" t="s">
        <v>224</v>
      </c>
      <c r="C55" s="85"/>
      <c r="D55" s="86">
        <v>39938921804</v>
      </c>
      <c r="E55" s="86">
        <v>1281630268</v>
      </c>
      <c r="F55" s="86">
        <f>+'[3]Flujo '!D60</f>
        <v>137382094</v>
      </c>
      <c r="G55" s="86">
        <f>+'[3]Flujo '!E60</f>
        <v>50788061</v>
      </c>
      <c r="H55" s="37">
        <f t="shared" si="0"/>
        <v>86594.032999999996</v>
      </c>
    </row>
    <row r="56" spans="2:8" s="31" customFormat="1" ht="18" customHeight="1" thickBot="1">
      <c r="B56" s="93" t="s">
        <v>225</v>
      </c>
      <c r="C56" s="85"/>
      <c r="D56" s="86">
        <v>2814985114</v>
      </c>
      <c r="E56" s="86">
        <v>3952182137</v>
      </c>
      <c r="F56" s="86">
        <f>+'[3]Flujo '!D61</f>
        <v>49011475</v>
      </c>
      <c r="G56" s="86">
        <f>+'[3]Flujo '!E61</f>
        <v>0</v>
      </c>
      <c r="H56" s="333">
        <f t="shared" si="0"/>
        <v>49011.474999999999</v>
      </c>
    </row>
    <row r="57" spans="2:8" s="31" customFormat="1" ht="18" hidden="1" customHeight="1" thickBot="1">
      <c r="B57" s="94" t="s">
        <v>226</v>
      </c>
      <c r="C57" s="87"/>
      <c r="D57" s="95">
        <f>SUM(D51:D56)</f>
        <v>42753906918</v>
      </c>
      <c r="E57" s="95">
        <f>SUM(E51:E56)</f>
        <v>5233812405</v>
      </c>
      <c r="F57" s="95">
        <f>+F56+F55</f>
        <v>186393569</v>
      </c>
      <c r="G57" s="95">
        <f>+G56+G55</f>
        <v>50788061</v>
      </c>
      <c r="H57" s="37">
        <f t="shared" si="0"/>
        <v>135605.508</v>
      </c>
    </row>
    <row r="58" spans="2:8" s="31" customFormat="1" ht="18" hidden="1" customHeight="1" thickBot="1">
      <c r="B58" s="84" t="s">
        <v>227</v>
      </c>
      <c r="C58" s="85"/>
      <c r="D58" s="86">
        <v>0</v>
      </c>
      <c r="E58" s="86">
        <v>0</v>
      </c>
      <c r="F58" s="91"/>
      <c r="G58" s="91"/>
      <c r="H58" s="37">
        <f t="shared" si="0"/>
        <v>0</v>
      </c>
    </row>
    <row r="59" spans="2:8" s="31" customFormat="1" ht="18" customHeight="1" thickBot="1">
      <c r="B59" s="84" t="s">
        <v>228</v>
      </c>
      <c r="C59" s="85"/>
      <c r="D59" s="86">
        <v>-17891680809</v>
      </c>
      <c r="E59" s="86">
        <v>-6369263601</v>
      </c>
      <c r="F59" s="86">
        <f>+'[3]Flujo '!D64</f>
        <v>-194124035</v>
      </c>
      <c r="G59" s="86">
        <f>+'[3]Flujo '!E64</f>
        <v>-33065714</v>
      </c>
      <c r="H59" s="333">
        <f t="shared" si="0"/>
        <v>-161058.321</v>
      </c>
    </row>
    <row r="60" spans="2:8" s="31" customFormat="1" ht="18" hidden="1" customHeight="1" thickBot="1">
      <c r="B60" s="84" t="s">
        <v>229</v>
      </c>
      <c r="C60" s="85"/>
      <c r="D60" s="86">
        <v>0</v>
      </c>
      <c r="E60" s="86">
        <v>0</v>
      </c>
      <c r="F60" s="86"/>
      <c r="G60" s="86"/>
      <c r="H60" s="37">
        <f t="shared" si="0"/>
        <v>0</v>
      </c>
    </row>
    <row r="61" spans="2:8" s="31" customFormat="1" ht="18" hidden="1" customHeight="1" thickBot="1">
      <c r="B61" s="96" t="s">
        <v>230</v>
      </c>
      <c r="C61" s="85"/>
      <c r="D61" s="86">
        <v>0</v>
      </c>
      <c r="E61" s="86">
        <v>0</v>
      </c>
      <c r="F61" s="86"/>
      <c r="G61" s="86"/>
      <c r="H61" s="37">
        <f t="shared" si="0"/>
        <v>0</v>
      </c>
    </row>
    <row r="62" spans="2:8" s="31" customFormat="1" ht="18" hidden="1" customHeight="1" thickBot="1">
      <c r="B62" s="84" t="s">
        <v>213</v>
      </c>
      <c r="C62" s="85"/>
      <c r="D62" s="86">
        <v>0</v>
      </c>
      <c r="E62" s="86">
        <v>0</v>
      </c>
      <c r="F62" s="86"/>
      <c r="G62" s="86"/>
      <c r="H62" s="37">
        <f t="shared" si="0"/>
        <v>0</v>
      </c>
    </row>
    <row r="63" spans="2:8" s="31" customFormat="1" ht="18" customHeight="1" thickBot="1">
      <c r="B63" s="84" t="s">
        <v>193</v>
      </c>
      <c r="C63" s="85"/>
      <c r="D63" s="86">
        <v>0</v>
      </c>
      <c r="E63" s="86">
        <v>0</v>
      </c>
      <c r="F63" s="86">
        <f>+'[3]Flujo '!D68</f>
        <v>-118898853</v>
      </c>
      <c r="G63" s="86">
        <f>+'[3]Flujo '!E68</f>
        <v>-87471861</v>
      </c>
      <c r="H63" s="333">
        <f t="shared" si="0"/>
        <v>-31426.991999999998</v>
      </c>
    </row>
    <row r="64" spans="2:8" s="31" customFormat="1" ht="18" hidden="1" customHeight="1" thickBot="1">
      <c r="B64" s="84" t="s">
        <v>195</v>
      </c>
      <c r="C64" s="85"/>
      <c r="D64" s="86">
        <v>0</v>
      </c>
      <c r="E64" s="86">
        <v>0</v>
      </c>
      <c r="F64" s="86"/>
      <c r="G64" s="86"/>
      <c r="H64" s="37">
        <f t="shared" si="0"/>
        <v>0</v>
      </c>
    </row>
    <row r="65" spans="1:8" s="31" customFormat="1" ht="18" hidden="1" customHeight="1" thickBot="1">
      <c r="B65" s="84" t="s">
        <v>218</v>
      </c>
      <c r="C65" s="85"/>
      <c r="D65" s="86">
        <v>0</v>
      </c>
      <c r="E65" s="86">
        <v>0</v>
      </c>
      <c r="F65" s="86"/>
      <c r="G65" s="86"/>
      <c r="H65" s="37">
        <f t="shared" si="0"/>
        <v>0</v>
      </c>
    </row>
    <row r="66" spans="1:8" s="31" customFormat="1" ht="18" customHeight="1" thickBot="1">
      <c r="B66" s="84" t="s">
        <v>219</v>
      </c>
      <c r="C66" s="85"/>
      <c r="D66" s="86">
        <v>-249988835</v>
      </c>
      <c r="E66" s="86">
        <v>0</v>
      </c>
      <c r="F66" s="86">
        <f>+'[3]Flujo '!D71</f>
        <v>-411959</v>
      </c>
      <c r="G66" s="86">
        <f>+'[3]Flujo '!E71</f>
        <v>-204845</v>
      </c>
      <c r="H66" s="37">
        <f t="shared" si="0"/>
        <v>-207.114</v>
      </c>
    </row>
    <row r="67" spans="1:8" s="31" customFormat="1" ht="18" customHeight="1" thickBot="1">
      <c r="B67" s="88" t="s">
        <v>97</v>
      </c>
      <c r="C67" s="89"/>
      <c r="D67" s="90">
        <f>SUM(D57:D66)</f>
        <v>24612237274</v>
      </c>
      <c r="E67" s="90">
        <f>SUM(E57:E66)</f>
        <v>-1135451196</v>
      </c>
      <c r="F67" s="90">
        <f>SUM(F57:F66)</f>
        <v>-127041278</v>
      </c>
      <c r="G67" s="90">
        <f>SUM(G57:G66)</f>
        <v>-69954359</v>
      </c>
      <c r="H67" s="37">
        <f t="shared" si="0"/>
        <v>-57086.919000000002</v>
      </c>
    </row>
    <row r="68" spans="1:8" s="31" customFormat="1" ht="6.75" hidden="1" customHeight="1" thickBot="1">
      <c r="A68" s="32"/>
      <c r="B68" s="395"/>
      <c r="C68" s="396"/>
      <c r="D68" s="396"/>
      <c r="E68" s="396"/>
      <c r="F68" s="396"/>
      <c r="G68" s="397"/>
      <c r="H68" s="37"/>
    </row>
    <row r="69" spans="1:8" s="31" customFormat="1" ht="25.5" hidden="1" customHeight="1" thickBot="1">
      <c r="A69" s="32"/>
      <c r="B69" s="88" t="s">
        <v>231</v>
      </c>
      <c r="C69" s="97"/>
      <c r="D69" s="90">
        <f>+D23+D49+D67</f>
        <v>51668325677</v>
      </c>
      <c r="E69" s="90">
        <f>+E23+E49+E67</f>
        <v>22765420174.039402</v>
      </c>
      <c r="F69" s="90">
        <f>+F23+F49+F67</f>
        <v>-27254724</v>
      </c>
      <c r="G69" s="90">
        <f>+G23+G49+G67</f>
        <v>-5033896</v>
      </c>
      <c r="H69" s="37">
        <f t="shared" si="0"/>
        <v>-22220.828000000001</v>
      </c>
    </row>
    <row r="70" spans="1:8" s="31" customFormat="1" ht="6.75" hidden="1" customHeight="1" thickBot="1">
      <c r="A70" s="32"/>
      <c r="B70" s="398"/>
      <c r="C70" s="399"/>
      <c r="D70" s="399"/>
      <c r="E70" s="399"/>
      <c r="F70" s="399"/>
      <c r="G70" s="400"/>
      <c r="H70" s="37"/>
    </row>
    <row r="71" spans="1:8" s="31" customFormat="1" ht="24" hidden="1" customHeight="1" thickBot="1">
      <c r="B71" s="98" t="s">
        <v>232</v>
      </c>
      <c r="C71" s="87"/>
      <c r="D71" s="95">
        <f>[4]Resumen!Z67</f>
        <v>0</v>
      </c>
      <c r="E71" s="95">
        <f>+[5]Resumen!Z67</f>
        <v>0</v>
      </c>
      <c r="F71" s="95">
        <f>ROUND(D71/1000,0)</f>
        <v>0</v>
      </c>
      <c r="G71" s="95">
        <f>ROUND(E71/1000,0)</f>
        <v>0</v>
      </c>
      <c r="H71" s="37">
        <f t="shared" ref="H71:H77" si="3">+(F71-G71)/1000</f>
        <v>0</v>
      </c>
    </row>
    <row r="72" spans="1:8" s="31" customFormat="1" ht="6.75" hidden="1" customHeight="1" thickBot="1">
      <c r="B72" s="389"/>
      <c r="C72" s="390"/>
      <c r="D72" s="390"/>
      <c r="E72" s="390"/>
      <c r="F72" s="390"/>
      <c r="G72" s="391"/>
      <c r="H72" s="37">
        <f t="shared" si="3"/>
        <v>0</v>
      </c>
    </row>
    <row r="73" spans="1:8" s="31" customFormat="1" ht="18" customHeight="1" thickBot="1">
      <c r="B73" s="88" t="s">
        <v>233</v>
      </c>
      <c r="C73" s="89"/>
      <c r="D73" s="90">
        <f>+D23+D49+D67</f>
        <v>51668325677</v>
      </c>
      <c r="E73" s="90">
        <f>+E23+E49+E67</f>
        <v>22765420174.039402</v>
      </c>
      <c r="F73" s="90">
        <f>+F69+F71</f>
        <v>-27254724</v>
      </c>
      <c r="G73" s="90">
        <f>+G69+G71</f>
        <v>-5033896</v>
      </c>
      <c r="H73" s="37">
        <f t="shared" si="3"/>
        <v>-22220.828000000001</v>
      </c>
    </row>
    <row r="74" spans="1:8" s="31" customFormat="1" ht="6.75" hidden="1" customHeight="1" thickBot="1">
      <c r="B74" s="389"/>
      <c r="C74" s="390"/>
      <c r="D74" s="390"/>
      <c r="E74" s="390"/>
      <c r="F74" s="390"/>
      <c r="G74" s="391"/>
      <c r="H74" s="37"/>
    </row>
    <row r="75" spans="1:8" s="31" customFormat="1" ht="18" customHeight="1" thickBot="1">
      <c r="B75" s="98" t="s">
        <v>96</v>
      </c>
      <c r="C75" s="87"/>
      <c r="D75" s="95">
        <v>5051498769.1188555</v>
      </c>
      <c r="E75" s="95">
        <v>6089961730</v>
      </c>
      <c r="F75" s="86">
        <f>+'[3]Flujo '!$D$77</f>
        <v>40299181</v>
      </c>
      <c r="G75" s="86">
        <f>+'[3]Flujo '!$E$77</f>
        <v>37206648</v>
      </c>
      <c r="H75" s="37">
        <f t="shared" si="3"/>
        <v>3092.5329999999999</v>
      </c>
    </row>
    <row r="76" spans="1:8" s="31" customFormat="1" ht="6.75" hidden="1" customHeight="1" thickBot="1">
      <c r="B76" s="392"/>
      <c r="C76" s="393"/>
      <c r="D76" s="393"/>
      <c r="E76" s="393"/>
      <c r="F76" s="393"/>
      <c r="G76" s="394"/>
      <c r="H76" s="37"/>
    </row>
    <row r="77" spans="1:8" s="31" customFormat="1" ht="18" customHeight="1" thickBot="1">
      <c r="B77" s="88" t="s">
        <v>95</v>
      </c>
      <c r="C77" s="99" t="s">
        <v>236</v>
      </c>
      <c r="D77" s="90">
        <f>+D73+D75</f>
        <v>56719824446.118858</v>
      </c>
      <c r="E77" s="90">
        <f>+E73+E75</f>
        <v>28855381904.039402</v>
      </c>
      <c r="F77" s="90">
        <f>+F73+F75</f>
        <v>13044457</v>
      </c>
      <c r="G77" s="90">
        <f>+G73+G75</f>
        <v>32172752</v>
      </c>
      <c r="H77" s="37">
        <f t="shared" si="3"/>
        <v>-19128.294999999998</v>
      </c>
    </row>
    <row r="78" spans="1:8">
      <c r="D78" s="33"/>
      <c r="E78" s="33"/>
      <c r="F78" s="33">
        <f>+F77-Balance!D8</f>
        <v>0</v>
      </c>
      <c r="G78" s="33"/>
    </row>
    <row r="79" spans="1:8">
      <c r="D79" s="33"/>
      <c r="E79" s="33"/>
      <c r="F79" s="33">
        <f>+F75-Balance!E8</f>
        <v>0</v>
      </c>
    </row>
    <row r="82" spans="4:4">
      <c r="D82" s="33"/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C6" sqref="C6"/>
    </sheetView>
  </sheetViews>
  <sheetFormatPr baseColWidth="10" defaultRowHeight="11.25"/>
  <cols>
    <col min="1" max="1" width="11.42578125" style="7"/>
    <col min="2" max="2" width="45.5703125" style="7" bestFit="1" customWidth="1"/>
    <col min="3" max="3" width="10.140625" style="7" bestFit="1" customWidth="1"/>
    <col min="4" max="5" width="11.42578125" style="7"/>
    <col min="6" max="6" width="13.85546875" style="7" bestFit="1" customWidth="1"/>
    <col min="7" max="16384" width="11.42578125" style="7"/>
  </cols>
  <sheetData>
    <row r="2" spans="2:9">
      <c r="B2" s="5" t="s">
        <v>94</v>
      </c>
      <c r="C2" s="6" t="s">
        <v>5</v>
      </c>
      <c r="F2" s="6"/>
      <c r="G2" s="38"/>
      <c r="H2" s="38"/>
      <c r="I2" s="6"/>
    </row>
    <row r="3" spans="2:9">
      <c r="B3" s="7" t="s">
        <v>282</v>
      </c>
      <c r="C3" s="8" t="e">
        <f>+cálculos!E68</f>
        <v>#REF!</v>
      </c>
      <c r="F3" s="6"/>
      <c r="G3" s="6"/>
      <c r="H3" s="6"/>
      <c r="I3" s="6"/>
    </row>
    <row r="4" spans="2:9">
      <c r="B4" s="7" t="s">
        <v>291</v>
      </c>
      <c r="C4" s="8">
        <f>-cálculos!D68</f>
        <v>-40086479</v>
      </c>
    </row>
    <row r="5" spans="2:9">
      <c r="B5" s="9" t="s">
        <v>292</v>
      </c>
      <c r="C5" s="10">
        <f>+cálculos!C68</f>
        <v>40013406</v>
      </c>
      <c r="G5" s="8"/>
      <c r="H5" s="8"/>
      <c r="I5" s="11"/>
    </row>
    <row r="6" spans="2:9">
      <c r="B6" s="5" t="s">
        <v>293</v>
      </c>
      <c r="C6" s="11" t="e">
        <f>SUM(C3:C5)</f>
        <v>#REF!</v>
      </c>
      <c r="G6" s="8"/>
      <c r="H6" s="8"/>
    </row>
    <row r="7" spans="2:9">
      <c r="C7" s="8"/>
    </row>
    <row r="8" spans="2:9">
      <c r="B8" s="12" t="s">
        <v>100</v>
      </c>
    </row>
    <row r="9" spans="2:9">
      <c r="B9" s="5" t="s">
        <v>18</v>
      </c>
      <c r="C9" s="6" t="s">
        <v>5</v>
      </c>
    </row>
    <row r="10" spans="2:9">
      <c r="B10" s="7" t="str">
        <f>+B3</f>
        <v>Ejercicio 2013</v>
      </c>
      <c r="C10" s="8">
        <f>+cálculos!F20-cálculos!F21</f>
        <v>177119724</v>
      </c>
    </row>
    <row r="11" spans="2:9">
      <c r="B11" s="7" t="str">
        <f>+B4</f>
        <v>Acum Septiembre 2013</v>
      </c>
      <c r="C11" s="8">
        <f>-(+cálculos!E20-cálculos!E21)</f>
        <v>-125533427</v>
      </c>
    </row>
    <row r="12" spans="2:9">
      <c r="B12" s="9" t="str">
        <f>+B5</f>
        <v>Acum Septiembre 2014</v>
      </c>
      <c r="C12" s="10">
        <f>+cálculos!D20-cálculos!D21</f>
        <v>125088893</v>
      </c>
    </row>
    <row r="13" spans="2:9">
      <c r="B13" s="5" t="str">
        <f>+B6</f>
        <v>Periodo Sept 2013 - Sept 2014</v>
      </c>
      <c r="C13" s="11">
        <f>SUM(C10:C12)</f>
        <v>176675190</v>
      </c>
    </row>
    <row r="16" spans="2:9">
      <c r="B16" s="5" t="s">
        <v>20</v>
      </c>
      <c r="C16" s="6" t="s">
        <v>5</v>
      </c>
    </row>
    <row r="17" spans="2:3">
      <c r="B17" s="7" t="str">
        <f>+B3</f>
        <v>Ejercicio 2013</v>
      </c>
      <c r="C17" s="8">
        <f>-cálculos!F21</f>
        <v>28886895</v>
      </c>
    </row>
    <row r="18" spans="2:3">
      <c r="B18" s="7" t="str">
        <f>+B4</f>
        <v>Acum Septiembre 2013</v>
      </c>
      <c r="C18" s="8">
        <f>+cálculos!E21</f>
        <v>-21900066</v>
      </c>
    </row>
    <row r="19" spans="2:3">
      <c r="B19" s="9" t="str">
        <f>+B5</f>
        <v>Acum Septiembre 2014</v>
      </c>
      <c r="C19" s="10">
        <f>-cálculos!D21</f>
        <v>23527839</v>
      </c>
    </row>
    <row r="20" spans="2:3">
      <c r="B20" s="5" t="str">
        <f>+B13</f>
        <v>Periodo Sept 2013 - Sept 2014</v>
      </c>
      <c r="C20" s="11">
        <f>SUM(C17:C19)</f>
        <v>30514668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H49"/>
  <sheetViews>
    <sheetView topLeftCell="A34" workbookViewId="0">
      <selection activeCell="H49" sqref="H49"/>
    </sheetView>
  </sheetViews>
  <sheetFormatPr baseColWidth="10" defaultRowHeight="12.75"/>
  <sheetData>
    <row r="49" spans="8:8">
      <c r="H49">
        <v>913.71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topLeftCell="A34" workbookViewId="0">
      <selection activeCell="C16" sqref="C16:J17"/>
    </sheetView>
  </sheetViews>
  <sheetFormatPr baseColWidth="10" defaultRowHeight="15" customHeight="1"/>
  <cols>
    <col min="1" max="1" width="4" style="358" customWidth="1"/>
    <col min="2" max="2" width="44.85546875" style="358" bestFit="1" customWidth="1"/>
    <col min="3" max="4" width="12.7109375" style="358" customWidth="1"/>
    <col min="5" max="5" width="15.5703125" style="358" customWidth="1"/>
    <col min="6" max="8" width="11.42578125" style="358"/>
    <col min="9" max="9" width="25.28515625" style="358" bestFit="1" customWidth="1"/>
    <col min="10" max="16384" width="11.42578125" style="358"/>
  </cols>
  <sheetData>
    <row r="1" spans="1:14" ht="15" customHeight="1">
      <c r="A1" s="357" t="s">
        <v>301</v>
      </c>
    </row>
    <row r="2" spans="1:14" ht="15" customHeight="1" thickBot="1">
      <c r="B2" s="270" t="s">
        <v>302</v>
      </c>
      <c r="I2" s="270" t="s">
        <v>302</v>
      </c>
    </row>
    <row r="3" spans="1:14" s="359" customFormat="1" ht="15" customHeight="1" thickBot="1">
      <c r="B3" s="270" t="s">
        <v>303</v>
      </c>
      <c r="C3" s="354" t="s">
        <v>295</v>
      </c>
      <c r="D3" s="354" t="s">
        <v>296</v>
      </c>
      <c r="E3" s="354" t="s">
        <v>264</v>
      </c>
      <c r="F3" s="360"/>
      <c r="G3" s="354" t="s">
        <v>283</v>
      </c>
      <c r="I3" s="270" t="s">
        <v>303</v>
      </c>
      <c r="J3" s="355" t="s">
        <v>297</v>
      </c>
      <c r="K3" s="355" t="s">
        <v>298</v>
      </c>
      <c r="L3" s="354" t="s">
        <v>264</v>
      </c>
      <c r="M3" s="360"/>
      <c r="N3" s="268" t="s">
        <v>299</v>
      </c>
    </row>
    <row r="4" spans="1:14" ht="15" customHeight="1">
      <c r="B4" s="292" t="s">
        <v>304</v>
      </c>
      <c r="C4" s="361">
        <v>317525</v>
      </c>
      <c r="D4" s="361">
        <v>291202</v>
      </c>
      <c r="E4" s="275">
        <v>0.09</v>
      </c>
      <c r="F4" s="360"/>
      <c r="G4" s="361">
        <v>26323</v>
      </c>
      <c r="I4" s="292" t="s">
        <v>304</v>
      </c>
      <c r="J4" s="361">
        <v>95751</v>
      </c>
      <c r="K4" s="361">
        <v>88821</v>
      </c>
      <c r="L4" s="275">
        <v>7.8E-2</v>
      </c>
      <c r="M4" s="360"/>
      <c r="N4" s="361">
        <v>6930</v>
      </c>
    </row>
    <row r="5" spans="1:14" s="362" customFormat="1" ht="15" customHeight="1">
      <c r="B5" s="292" t="s">
        <v>305</v>
      </c>
      <c r="C5" s="363">
        <v>-125431</v>
      </c>
      <c r="D5" s="363">
        <v>-116968</v>
      </c>
      <c r="E5" s="275">
        <v>7.1999999999999995E-2</v>
      </c>
      <c r="F5" s="360"/>
      <c r="G5" s="363">
        <v>-8463</v>
      </c>
      <c r="I5" s="292" t="s">
        <v>305</v>
      </c>
      <c r="J5" s="363">
        <v>-43139</v>
      </c>
      <c r="K5" s="363">
        <v>-37507</v>
      </c>
      <c r="L5" s="275">
        <v>0.15</v>
      </c>
      <c r="M5" s="360"/>
      <c r="N5" s="363">
        <v>-5632</v>
      </c>
    </row>
    <row r="6" spans="1:14" s="362" customFormat="1" ht="15" customHeight="1">
      <c r="B6" s="292" t="s">
        <v>265</v>
      </c>
      <c r="C6" s="363">
        <v>192094</v>
      </c>
      <c r="D6" s="363">
        <v>174234</v>
      </c>
      <c r="E6" s="275">
        <v>0.10299999999999999</v>
      </c>
      <c r="F6" s="360"/>
      <c r="G6" s="363">
        <v>17860</v>
      </c>
      <c r="I6" s="292" t="s">
        <v>265</v>
      </c>
      <c r="J6" s="363">
        <v>52612</v>
      </c>
      <c r="K6" s="363">
        <v>51314</v>
      </c>
      <c r="L6" s="275">
        <v>2.5000000000000001E-2</v>
      </c>
      <c r="M6" s="360"/>
      <c r="N6" s="363">
        <v>1298</v>
      </c>
    </row>
    <row r="7" spans="1:14" s="362" customFormat="1" ht="15" customHeight="1">
      <c r="B7" s="292" t="s">
        <v>306</v>
      </c>
      <c r="C7" s="363">
        <v>-49189</v>
      </c>
      <c r="D7" s="363">
        <v>-48759</v>
      </c>
      <c r="E7" s="275">
        <v>-8.9999999999999993E-3</v>
      </c>
      <c r="F7" s="360"/>
      <c r="G7" s="363">
        <v>-430</v>
      </c>
      <c r="I7" s="292" t="s">
        <v>306</v>
      </c>
      <c r="J7" s="363">
        <v>-17589</v>
      </c>
      <c r="K7" s="363">
        <v>-16583</v>
      </c>
      <c r="L7" s="275">
        <v>-6.0999999999999999E-2</v>
      </c>
      <c r="M7" s="360"/>
      <c r="N7" s="363">
        <v>-1006</v>
      </c>
    </row>
    <row r="8" spans="1:14" s="362" customFormat="1" ht="15" customHeight="1">
      <c r="B8" s="292" t="s">
        <v>307</v>
      </c>
      <c r="C8" s="363">
        <v>142905</v>
      </c>
      <c r="D8" s="363">
        <v>125475</v>
      </c>
      <c r="E8" s="275">
        <v>0.13900000000000001</v>
      </c>
      <c r="F8" s="360"/>
      <c r="G8" s="363">
        <v>17430</v>
      </c>
      <c r="I8" s="292" t="s">
        <v>307</v>
      </c>
      <c r="J8" s="363">
        <v>35023</v>
      </c>
      <c r="K8" s="363">
        <v>34731</v>
      </c>
      <c r="L8" s="275">
        <v>8.0000000000000002E-3</v>
      </c>
      <c r="M8" s="360"/>
      <c r="N8" s="363">
        <v>292</v>
      </c>
    </row>
    <row r="9" spans="1:14" s="362" customFormat="1" ht="15" customHeight="1">
      <c r="B9" s="292" t="s">
        <v>308</v>
      </c>
      <c r="C9" s="363">
        <v>-42249</v>
      </c>
      <c r="D9" s="363">
        <v>-23156</v>
      </c>
      <c r="E9" s="275">
        <v>0.82499999999999996</v>
      </c>
      <c r="F9" s="360"/>
      <c r="G9" s="363">
        <v>-19093</v>
      </c>
      <c r="I9" s="292" t="s">
        <v>308</v>
      </c>
      <c r="J9" s="363">
        <v>-12180</v>
      </c>
      <c r="K9" s="363">
        <v>-12313</v>
      </c>
      <c r="L9" s="275">
        <v>-1.0999999999999999E-2</v>
      </c>
      <c r="M9" s="360"/>
      <c r="N9" s="363">
        <v>133</v>
      </c>
    </row>
    <row r="10" spans="1:14" s="362" customFormat="1" ht="15" customHeight="1">
      <c r="B10" s="292" t="s">
        <v>309</v>
      </c>
      <c r="C10" s="363">
        <v>-18259.400000000001</v>
      </c>
      <c r="D10" s="363">
        <v>-20883.357</v>
      </c>
      <c r="E10" s="275">
        <v>-0.126</v>
      </c>
      <c r="F10" s="360"/>
      <c r="G10" s="363">
        <v>2623.9569999999985</v>
      </c>
      <c r="I10" s="292" t="s">
        <v>309</v>
      </c>
      <c r="J10" s="363">
        <v>-5339.52</v>
      </c>
      <c r="K10" s="363">
        <v>-4921.2079999999996</v>
      </c>
      <c r="L10" s="275">
        <v>8.5000000000000006E-2</v>
      </c>
      <c r="M10" s="360"/>
      <c r="N10" s="363">
        <v>-418.31200000000081</v>
      </c>
    </row>
    <row r="11" spans="1:14" s="362" customFormat="1" ht="15" customHeight="1">
      <c r="B11" s="292" t="s">
        <v>310</v>
      </c>
      <c r="C11" s="363">
        <v>40013</v>
      </c>
      <c r="D11" s="363">
        <v>40086</v>
      </c>
      <c r="E11" s="275">
        <v>-2E-3</v>
      </c>
      <c r="F11" s="360"/>
      <c r="G11" s="363">
        <v>-73</v>
      </c>
      <c r="I11" s="292" t="s">
        <v>310</v>
      </c>
      <c r="J11" s="363">
        <v>8248</v>
      </c>
      <c r="K11" s="363">
        <v>8732</v>
      </c>
      <c r="L11" s="275">
        <v>-5.5E-2</v>
      </c>
      <c r="M11" s="360"/>
      <c r="N11" s="363">
        <v>-484</v>
      </c>
    </row>
    <row r="12" spans="1:14" s="362" customFormat="1" ht="15" customHeight="1"/>
    <row r="13" spans="1:14" ht="15" customHeight="1">
      <c r="A13" s="357" t="s">
        <v>277</v>
      </c>
      <c r="B13" s="1"/>
      <c r="C13" s="1"/>
      <c r="D13" s="1"/>
      <c r="E13" s="1"/>
      <c r="F13" s="1"/>
      <c r="G13" s="1"/>
      <c r="H13" s="1"/>
      <c r="I13" s="1"/>
      <c r="J13" s="1"/>
    </row>
    <row r="14" spans="1:14" s="362" customFormat="1" ht="15" customHeight="1">
      <c r="B14" s="292"/>
      <c r="C14" s="267"/>
      <c r="D14" s="267"/>
      <c r="E14" s="274"/>
      <c r="F14" s="365"/>
      <c r="G14" s="267"/>
      <c r="H14" s="366"/>
      <c r="I14" s="366"/>
      <c r="J14" s="366"/>
    </row>
    <row r="15" spans="1:14" s="362" customFormat="1" ht="15" customHeight="1" thickBot="1">
      <c r="B15" s="321"/>
      <c r="C15" s="378" t="s">
        <v>295</v>
      </c>
      <c r="D15" s="378"/>
      <c r="E15" s="321"/>
      <c r="F15" s="378" t="s">
        <v>296</v>
      </c>
      <c r="G15" s="378"/>
      <c r="H15" s="321"/>
      <c r="I15" s="378" t="s">
        <v>266</v>
      </c>
      <c r="J15" s="378"/>
    </row>
    <row r="16" spans="1:14" s="362" customFormat="1" ht="15" customHeight="1">
      <c r="B16" s="321"/>
      <c r="C16" s="372" t="s">
        <v>327</v>
      </c>
      <c r="D16" s="379" t="s">
        <v>328</v>
      </c>
      <c r="E16" s="321"/>
      <c r="F16" s="372" t="s">
        <v>327</v>
      </c>
      <c r="G16" s="379" t="s">
        <v>328</v>
      </c>
      <c r="H16" s="321"/>
      <c r="I16" s="379" t="s">
        <v>329</v>
      </c>
      <c r="J16" s="379" t="s">
        <v>62</v>
      </c>
    </row>
    <row r="17" spans="2:10" s="362" customFormat="1" ht="15" customHeight="1" thickBot="1">
      <c r="B17" s="321"/>
      <c r="C17" s="373" t="s">
        <v>329</v>
      </c>
      <c r="D17" s="380"/>
      <c r="E17" s="321"/>
      <c r="F17" s="373" t="s">
        <v>329</v>
      </c>
      <c r="G17" s="380"/>
      <c r="H17" s="321"/>
      <c r="I17" s="380"/>
      <c r="J17" s="380"/>
    </row>
    <row r="18" spans="2:10" s="362" customFormat="1" ht="15" customHeight="1">
      <c r="B18" s="292" t="s">
        <v>311</v>
      </c>
      <c r="C18" s="344">
        <v>127785</v>
      </c>
      <c r="D18" s="275">
        <v>0.40200000000000002</v>
      </c>
      <c r="E18" s="321"/>
      <c r="F18" s="344">
        <v>116426</v>
      </c>
      <c r="G18" s="275">
        <v>0.4</v>
      </c>
      <c r="H18" s="321"/>
      <c r="I18" s="267">
        <v>11359</v>
      </c>
      <c r="J18" s="275">
        <v>9.8000000000000004E-2</v>
      </c>
    </row>
    <row r="19" spans="2:10" s="362" customFormat="1" ht="15" customHeight="1">
      <c r="B19" s="292" t="s">
        <v>312</v>
      </c>
      <c r="C19" s="344">
        <v>149155</v>
      </c>
      <c r="D19" s="275">
        <v>0.47</v>
      </c>
      <c r="E19" s="321"/>
      <c r="F19" s="344">
        <v>134720</v>
      </c>
      <c r="G19" s="275">
        <v>0.46300000000000002</v>
      </c>
      <c r="H19" s="321"/>
      <c r="I19" s="267">
        <v>14435</v>
      </c>
      <c r="J19" s="275">
        <v>0.107</v>
      </c>
    </row>
    <row r="20" spans="2:10" s="362" customFormat="1" ht="15" customHeight="1">
      <c r="B20" s="292" t="s">
        <v>313</v>
      </c>
      <c r="C20" s="344">
        <v>8804</v>
      </c>
      <c r="D20" s="275">
        <v>2.8000000000000001E-2</v>
      </c>
      <c r="E20" s="321"/>
      <c r="F20" s="344">
        <v>8232</v>
      </c>
      <c r="G20" s="275">
        <v>2.8000000000000001E-2</v>
      </c>
      <c r="H20" s="321"/>
      <c r="I20" s="267">
        <v>572</v>
      </c>
      <c r="J20" s="275">
        <v>6.9000000000000006E-2</v>
      </c>
    </row>
    <row r="21" spans="2:10" s="362" customFormat="1" ht="15" customHeight="1" thickBot="1">
      <c r="B21" s="292" t="s">
        <v>314</v>
      </c>
      <c r="C21" s="345">
        <v>31781</v>
      </c>
      <c r="D21" s="277">
        <v>0.1</v>
      </c>
      <c r="E21" s="321"/>
      <c r="F21" s="345">
        <v>31824</v>
      </c>
      <c r="G21" s="277">
        <v>0.109</v>
      </c>
      <c r="H21" s="321"/>
      <c r="I21" s="276">
        <v>-43</v>
      </c>
      <c r="J21" s="277">
        <v>-1E-3</v>
      </c>
    </row>
    <row r="22" spans="2:10" s="362" customFormat="1" ht="15" customHeight="1" thickTop="1">
      <c r="B22" s="268" t="s">
        <v>267</v>
      </c>
      <c r="C22" s="269">
        <v>317525</v>
      </c>
      <c r="D22" s="275">
        <v>1</v>
      </c>
      <c r="E22" s="321"/>
      <c r="F22" s="269">
        <v>291202</v>
      </c>
      <c r="G22" s="275">
        <v>1</v>
      </c>
      <c r="H22" s="321"/>
      <c r="I22" s="269">
        <v>26323</v>
      </c>
      <c r="J22" s="275">
        <v>0.09</v>
      </c>
    </row>
    <row r="23" spans="2:10" s="362" customFormat="1" ht="15" customHeight="1">
      <c r="B23" s="366"/>
      <c r="C23" s="366"/>
      <c r="D23" s="366"/>
      <c r="E23" s="366"/>
      <c r="F23" s="366"/>
      <c r="G23" s="366"/>
      <c r="H23" s="366"/>
      <c r="I23" s="366"/>
      <c r="J23" s="366"/>
    </row>
    <row r="24" spans="2:10" s="362" customFormat="1" ht="15" customHeight="1" thickBot="1">
      <c r="B24" s="371" t="s">
        <v>315</v>
      </c>
      <c r="C24" s="356" t="s">
        <v>295</v>
      </c>
      <c r="D24" s="356" t="s">
        <v>296</v>
      </c>
      <c r="E24" s="356" t="s">
        <v>264</v>
      </c>
      <c r="F24" s="321"/>
      <c r="G24" s="356" t="s">
        <v>326</v>
      </c>
      <c r="H24" s="366"/>
      <c r="I24" s="366"/>
      <c r="J24" s="366"/>
    </row>
    <row r="25" spans="2:10" s="362" customFormat="1" ht="15" customHeight="1">
      <c r="B25" s="370" t="s">
        <v>311</v>
      </c>
      <c r="C25" s="344">
        <v>416936</v>
      </c>
      <c r="D25" s="344">
        <v>404761</v>
      </c>
      <c r="E25" s="275">
        <v>0.03</v>
      </c>
      <c r="F25" s="321"/>
      <c r="G25" s="267">
        <v>12175</v>
      </c>
      <c r="H25" s="366"/>
      <c r="I25" s="366"/>
      <c r="J25" s="366"/>
    </row>
    <row r="26" spans="2:10" s="362" customFormat="1" ht="15" customHeight="1">
      <c r="B26" s="370" t="s">
        <v>316</v>
      </c>
      <c r="C26" s="344">
        <v>403417</v>
      </c>
      <c r="D26" s="344">
        <v>394421</v>
      </c>
      <c r="E26" s="275">
        <v>2.3E-2</v>
      </c>
      <c r="F26" s="321"/>
      <c r="G26" s="267">
        <v>8996</v>
      </c>
      <c r="H26" s="366"/>
      <c r="I26" s="366"/>
      <c r="J26" s="366"/>
    </row>
    <row r="27" spans="2:10" s="362" customFormat="1" ht="15" customHeight="1">
      <c r="B27" s="370" t="s">
        <v>317</v>
      </c>
      <c r="C27" s="344">
        <v>353657</v>
      </c>
      <c r="D27" s="344">
        <v>345446</v>
      </c>
      <c r="E27" s="275">
        <v>2.4E-2</v>
      </c>
      <c r="F27" s="321"/>
      <c r="G27" s="267">
        <v>8211</v>
      </c>
      <c r="H27" s="366"/>
      <c r="I27" s="366"/>
      <c r="J27" s="366"/>
    </row>
    <row r="28" spans="2:10" s="362" customFormat="1" ht="15" customHeight="1">
      <c r="B28" s="292" t="s">
        <v>318</v>
      </c>
      <c r="C28" s="344">
        <v>89720</v>
      </c>
      <c r="D28" s="344">
        <v>88149</v>
      </c>
      <c r="E28" s="275">
        <v>1.7999999999999999E-2</v>
      </c>
      <c r="F28" s="321"/>
      <c r="G28" s="267">
        <v>1571</v>
      </c>
      <c r="H28" s="1"/>
      <c r="I28" s="1"/>
      <c r="J28" s="1"/>
    </row>
    <row r="29" spans="2:10" ht="15" customHeight="1">
      <c r="B29" s="321"/>
      <c r="C29" s="344"/>
      <c r="D29" s="344"/>
      <c r="E29" s="321"/>
      <c r="F29" s="321"/>
      <c r="G29" s="321"/>
      <c r="H29" s="1"/>
      <c r="I29" s="1"/>
      <c r="J29" s="1"/>
    </row>
    <row r="30" spans="2:10" ht="15" customHeight="1" thickBot="1">
      <c r="B30" s="371" t="s">
        <v>319</v>
      </c>
      <c r="C30" s="356" t="s">
        <v>295</v>
      </c>
      <c r="D30" s="356" t="s">
        <v>296</v>
      </c>
      <c r="E30" s="367" t="s">
        <v>264</v>
      </c>
      <c r="F30" s="321"/>
      <c r="G30" s="367" t="s">
        <v>326</v>
      </c>
      <c r="H30" s="1"/>
      <c r="I30" s="1"/>
      <c r="J30" s="1"/>
    </row>
    <row r="31" spans="2:10" ht="15" customHeight="1">
      <c r="B31" s="370" t="s">
        <v>311</v>
      </c>
      <c r="C31" s="344">
        <v>2081873</v>
      </c>
      <c r="D31" s="344">
        <v>2022316</v>
      </c>
      <c r="E31" s="275">
        <v>2.9000000000000001E-2</v>
      </c>
      <c r="F31" s="321"/>
      <c r="G31" s="267">
        <v>59557</v>
      </c>
      <c r="H31" s="1"/>
      <c r="I31" s="1"/>
      <c r="J31" s="1"/>
    </row>
    <row r="32" spans="2:10" ht="15" customHeight="1">
      <c r="B32" s="370" t="s">
        <v>316</v>
      </c>
      <c r="C32" s="344">
        <v>2030580</v>
      </c>
      <c r="D32" s="344">
        <v>1982730</v>
      </c>
      <c r="E32" s="275">
        <v>2.4E-2</v>
      </c>
      <c r="F32" s="321"/>
      <c r="G32" s="267">
        <v>47850</v>
      </c>
      <c r="H32" s="1"/>
      <c r="I32" s="1"/>
      <c r="J32" s="1"/>
    </row>
    <row r="33" spans="2:10" ht="15" customHeight="1">
      <c r="B33" s="368"/>
      <c r="C33" s="368"/>
      <c r="D33" s="1"/>
      <c r="E33" s="1"/>
      <c r="F33" s="1"/>
      <c r="G33" s="1"/>
      <c r="H33" s="1"/>
      <c r="I33" s="1"/>
      <c r="J33" s="1"/>
    </row>
    <row r="34" spans="2:10" ht="15" customHeight="1">
      <c r="B34" s="369" t="s">
        <v>320</v>
      </c>
      <c r="C34" s="368"/>
      <c r="D34" s="1"/>
      <c r="E34" s="1"/>
      <c r="F34" s="1"/>
      <c r="G34" s="1"/>
      <c r="H34" s="1"/>
      <c r="I34" s="1"/>
      <c r="J34" s="1"/>
    </row>
    <row r="35" spans="2:10" ht="15" customHeight="1">
      <c r="B35" s="369"/>
      <c r="C35" s="368"/>
      <c r="D35" s="1"/>
      <c r="E35" s="1"/>
      <c r="F35" s="1"/>
      <c r="G35" s="1"/>
      <c r="H35" s="1"/>
      <c r="I35" s="1"/>
      <c r="J35" s="1"/>
    </row>
    <row r="36" spans="2:10" ht="15" customHeight="1" thickBot="1">
      <c r="B36" s="282" t="s">
        <v>268</v>
      </c>
      <c r="C36" s="278" t="s">
        <v>295</v>
      </c>
      <c r="D36" s="278" t="s">
        <v>296</v>
      </c>
      <c r="E36" s="278" t="s">
        <v>269</v>
      </c>
      <c r="F36" s="1"/>
      <c r="G36" s="1"/>
      <c r="H36" s="1"/>
      <c r="I36" s="1"/>
      <c r="J36" s="1"/>
    </row>
    <row r="37" spans="2:10" ht="15" customHeight="1">
      <c r="B37" s="279" t="s">
        <v>270</v>
      </c>
      <c r="C37" s="344">
        <v>5907</v>
      </c>
      <c r="D37" s="344">
        <v>7150</v>
      </c>
      <c r="E37" s="293">
        <v>-0.17399999999999999</v>
      </c>
      <c r="F37" s="1"/>
      <c r="G37" s="1"/>
      <c r="H37" s="1"/>
      <c r="I37" s="1"/>
      <c r="J37" s="1"/>
    </row>
    <row r="38" spans="2:10" s="359" customFormat="1" ht="15" customHeight="1">
      <c r="B38" s="279" t="s">
        <v>234</v>
      </c>
      <c r="C38" s="344">
        <v>9117</v>
      </c>
      <c r="D38" s="344">
        <v>8169</v>
      </c>
      <c r="E38" s="275">
        <v>0.11600000000000001</v>
      </c>
      <c r="F38" s="4"/>
      <c r="G38" s="4"/>
      <c r="H38" s="4"/>
      <c r="I38" s="4"/>
      <c r="J38" s="4"/>
    </row>
    <row r="39" spans="2:10" ht="15" customHeight="1">
      <c r="B39" s="279" t="s">
        <v>271</v>
      </c>
      <c r="C39" s="344">
        <v>1920</v>
      </c>
      <c r="D39" s="344">
        <v>1528</v>
      </c>
      <c r="E39" s="275">
        <v>0.25700000000000001</v>
      </c>
      <c r="F39" s="1"/>
      <c r="G39" s="1"/>
      <c r="H39" s="1"/>
      <c r="I39" s="1"/>
      <c r="J39" s="1"/>
    </row>
    <row r="40" spans="2:10" ht="15" customHeight="1">
      <c r="B40" s="279" t="s">
        <v>238</v>
      </c>
      <c r="C40" s="346">
        <v>569</v>
      </c>
      <c r="D40" s="346">
        <v>570</v>
      </c>
      <c r="E40" s="275">
        <v>-2E-3</v>
      </c>
      <c r="F40" s="1"/>
      <c r="G40" s="1"/>
      <c r="H40" s="1"/>
      <c r="I40" s="1"/>
      <c r="J40" s="1"/>
    </row>
    <row r="41" spans="2:10" ht="15" customHeight="1">
      <c r="B41" s="280" t="s">
        <v>321</v>
      </c>
      <c r="C41" s="281">
        <v>17513</v>
      </c>
      <c r="D41" s="281">
        <v>17417</v>
      </c>
      <c r="E41" s="324">
        <v>6.0000000000000001E-3</v>
      </c>
      <c r="F41" s="1"/>
      <c r="G41" s="1"/>
      <c r="H41" s="1"/>
      <c r="I41" s="1"/>
      <c r="J41" s="1"/>
    </row>
    <row r="42" spans="2:10" ht="15" customHeight="1">
      <c r="B42" s="368"/>
      <c r="C42" s="368"/>
      <c r="D42" s="3"/>
      <c r="E42" s="1"/>
      <c r="F42" s="1"/>
      <c r="G42" s="1"/>
      <c r="H42" s="1"/>
      <c r="I42" s="1"/>
      <c r="J42" s="1"/>
    </row>
    <row r="43" spans="2:10" ht="15" customHeight="1">
      <c r="B43" s="368"/>
      <c r="C43" s="368"/>
      <c r="D43" s="1"/>
      <c r="E43" s="1"/>
      <c r="F43" s="1"/>
      <c r="G43" s="1"/>
      <c r="H43" s="1"/>
      <c r="I43" s="1"/>
      <c r="J43" s="1"/>
    </row>
    <row r="44" spans="2:10" ht="15" customHeight="1" thickBot="1">
      <c r="B44" s="270" t="s">
        <v>322</v>
      </c>
      <c r="C44" s="356" t="s">
        <v>295</v>
      </c>
      <c r="D44" s="1"/>
      <c r="E44" s="1"/>
      <c r="F44" s="1"/>
      <c r="G44" s="1"/>
      <c r="H44" s="1"/>
      <c r="I44" s="1"/>
      <c r="J44" s="1"/>
    </row>
    <row r="45" spans="2:10" ht="15" customHeight="1">
      <c r="B45" s="292" t="s">
        <v>323</v>
      </c>
      <c r="C45" s="344">
        <v>4564</v>
      </c>
      <c r="D45" s="1"/>
      <c r="E45" s="1"/>
      <c r="F45" s="1"/>
      <c r="G45" s="1"/>
      <c r="H45" s="1"/>
      <c r="I45" s="1"/>
      <c r="J45" s="1"/>
    </row>
    <row r="46" spans="2:10" ht="15" customHeight="1">
      <c r="B46" s="370" t="s">
        <v>324</v>
      </c>
      <c r="C46" s="344">
        <v>3875</v>
      </c>
      <c r="D46" s="1"/>
      <c r="E46" s="1"/>
      <c r="F46" s="1"/>
      <c r="G46" s="1"/>
      <c r="H46" s="1"/>
      <c r="I46" s="1"/>
      <c r="J46" s="1"/>
    </row>
    <row r="47" spans="2:10" ht="15" customHeight="1">
      <c r="B47" s="370" t="s">
        <v>325</v>
      </c>
      <c r="C47" s="344">
        <v>2970</v>
      </c>
      <c r="D47" s="1"/>
      <c r="E47" s="1"/>
      <c r="F47" s="1"/>
      <c r="G47" s="1"/>
      <c r="H47" s="1"/>
      <c r="I47" s="1"/>
      <c r="J47" s="1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showGridLines="0" workbookViewId="0">
      <selection activeCell="B5" sqref="B5:B17"/>
    </sheetView>
  </sheetViews>
  <sheetFormatPr baseColWidth="10" defaultRowHeight="15" customHeight="1"/>
  <cols>
    <col min="1" max="1" width="3.85546875" style="1" customWidth="1"/>
    <col min="2" max="2" width="46.5703125" style="1" customWidth="1"/>
    <col min="3" max="4" width="13.7109375" style="1" customWidth="1"/>
    <col min="5" max="5" width="9.28515625" style="1" customWidth="1"/>
    <col min="6" max="16384" width="11.42578125" style="1"/>
  </cols>
  <sheetData>
    <row r="3" spans="2:7" ht="15" customHeight="1" thickBot="1">
      <c r="B3" s="291"/>
      <c r="C3" s="342">
        <v>41791</v>
      </c>
      <c r="D3" s="290" t="s">
        <v>263</v>
      </c>
      <c r="E3" s="381" t="s">
        <v>264</v>
      </c>
    </row>
    <row r="4" spans="2:7" ht="15" customHeight="1" thickBot="1">
      <c r="B4" s="266"/>
      <c r="C4" s="290" t="s">
        <v>66</v>
      </c>
      <c r="D4" s="290" t="s">
        <v>66</v>
      </c>
      <c r="E4" s="382"/>
    </row>
    <row r="5" spans="2:7" ht="15" customHeight="1">
      <c r="B5" s="364" t="s">
        <v>330</v>
      </c>
      <c r="C5" s="291"/>
      <c r="D5" s="291"/>
      <c r="E5" s="291"/>
    </row>
    <row r="6" spans="2:7" ht="12.75" customHeight="1">
      <c r="B6" s="292" t="s">
        <v>331</v>
      </c>
      <c r="C6" s="267">
        <v>100640</v>
      </c>
      <c r="D6" s="267">
        <v>134623</v>
      </c>
      <c r="E6" s="271">
        <v>-0.252</v>
      </c>
      <c r="G6" s="3"/>
    </row>
    <row r="7" spans="2:7" ht="12.75" customHeight="1">
      <c r="B7" s="292" t="s">
        <v>332</v>
      </c>
      <c r="C7" s="267">
        <v>1725961</v>
      </c>
      <c r="D7" s="267">
        <v>1716133</v>
      </c>
      <c r="E7" s="271">
        <v>6.0000000000000001E-3</v>
      </c>
      <c r="G7" s="3"/>
    </row>
    <row r="8" spans="2:7" ht="12.75" customHeight="1">
      <c r="B8" s="268" t="s">
        <v>333</v>
      </c>
      <c r="C8" s="269">
        <v>1826601</v>
      </c>
      <c r="D8" s="269">
        <v>1850756</v>
      </c>
      <c r="E8" s="272">
        <v>-1.2999999999999999E-2</v>
      </c>
      <c r="G8" s="3"/>
    </row>
    <row r="9" spans="2:7" ht="12.75" customHeight="1">
      <c r="B9" s="364" t="s">
        <v>334</v>
      </c>
      <c r="C9" s="291"/>
      <c r="D9" s="291"/>
      <c r="E9" s="295"/>
    </row>
    <row r="10" spans="2:7" ht="12.75" customHeight="1">
      <c r="B10" s="292" t="s">
        <v>335</v>
      </c>
      <c r="C10" s="267">
        <v>121381</v>
      </c>
      <c r="D10" s="267">
        <v>221033</v>
      </c>
      <c r="E10" s="271">
        <v>-0.45100000000000001</v>
      </c>
      <c r="G10" s="3"/>
    </row>
    <row r="11" spans="2:7" ht="12.75" customHeight="1">
      <c r="B11" s="292" t="s">
        <v>336</v>
      </c>
      <c r="C11" s="267">
        <v>762950</v>
      </c>
      <c r="D11" s="267">
        <v>680044</v>
      </c>
      <c r="E11" s="271">
        <v>0.122</v>
      </c>
      <c r="G11" s="3"/>
    </row>
    <row r="12" spans="2:7" ht="12.75" customHeight="1">
      <c r="B12" s="268" t="s">
        <v>337</v>
      </c>
      <c r="C12" s="269">
        <v>884331</v>
      </c>
      <c r="D12" s="269">
        <v>901077</v>
      </c>
      <c r="E12" s="272">
        <v>-1.9E-2</v>
      </c>
      <c r="G12" s="3"/>
    </row>
    <row r="13" spans="2:7" ht="12.75" customHeight="1">
      <c r="B13" s="321"/>
      <c r="C13" s="291"/>
      <c r="D13" s="291"/>
      <c r="E13" s="295"/>
    </row>
    <row r="14" spans="2:7" ht="12.75" customHeight="1">
      <c r="B14" s="292" t="s">
        <v>338</v>
      </c>
      <c r="C14" s="267">
        <v>579250</v>
      </c>
      <c r="D14" s="267">
        <v>580912</v>
      </c>
      <c r="E14" s="271">
        <v>-3.0000000000000001E-3</v>
      </c>
      <c r="G14" s="3"/>
    </row>
    <row r="15" spans="2:7" ht="12.75" customHeight="1">
      <c r="B15" s="292" t="s">
        <v>339</v>
      </c>
      <c r="C15" s="267">
        <v>363020</v>
      </c>
      <c r="D15" s="267">
        <v>368767</v>
      </c>
      <c r="E15" s="271">
        <v>-1.6E-2</v>
      </c>
      <c r="G15" s="3"/>
    </row>
    <row r="16" spans="2:7" ht="12.75" customHeight="1">
      <c r="B16" s="268" t="s">
        <v>340</v>
      </c>
      <c r="C16" s="269">
        <v>942270</v>
      </c>
      <c r="D16" s="269">
        <v>949679</v>
      </c>
      <c r="E16" s="272">
        <v>-8.0000000000000002E-3</v>
      </c>
      <c r="G16" s="3"/>
    </row>
    <row r="17" spans="2:7" ht="12.75" customHeight="1">
      <c r="B17" s="268" t="s">
        <v>341</v>
      </c>
      <c r="C17" s="269">
        <v>1826601</v>
      </c>
      <c r="D17" s="269">
        <v>1850756</v>
      </c>
      <c r="E17" s="272">
        <v>-1.2999999999999999E-2</v>
      </c>
      <c r="G17" s="3"/>
    </row>
    <row r="19" spans="2:7" ht="15" customHeight="1">
      <c r="C19" s="294"/>
      <c r="D19" s="294"/>
    </row>
    <row r="26" spans="2:7" s="4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"/>
  <sheetViews>
    <sheetView showGridLines="0" workbookViewId="0">
      <selection activeCell="C5" sqref="C5:C16"/>
    </sheetView>
  </sheetViews>
  <sheetFormatPr baseColWidth="10" defaultRowHeight="15" customHeight="1"/>
  <cols>
    <col min="1" max="1" width="8" style="1" bestFit="1" customWidth="1"/>
    <col min="2" max="2" width="60.425781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6" ht="15" customHeight="1">
      <c r="B3" s="291"/>
      <c r="C3" s="291"/>
      <c r="D3" s="341" t="s">
        <v>300</v>
      </c>
      <c r="E3" s="341" t="s">
        <v>263</v>
      </c>
    </row>
    <row r="4" spans="1:6" ht="15" customHeight="1">
      <c r="B4" s="374" t="s">
        <v>342</v>
      </c>
      <c r="C4" s="291"/>
      <c r="D4" s="291"/>
      <c r="E4" s="291"/>
    </row>
    <row r="5" spans="1:6" ht="15" customHeight="1">
      <c r="A5" s="2"/>
      <c r="B5" s="370" t="s">
        <v>343</v>
      </c>
      <c r="C5" s="376" t="s">
        <v>355</v>
      </c>
      <c r="D5" s="322">
        <v>0.83</v>
      </c>
      <c r="E5" s="322">
        <v>0.61</v>
      </c>
      <c r="F5" s="271">
        <v>0.36099999999999999</v>
      </c>
    </row>
    <row r="6" spans="1:6" ht="15" customHeight="1">
      <c r="A6" s="2"/>
      <c r="B6" s="370" t="s">
        <v>344</v>
      </c>
      <c r="C6" s="376" t="s">
        <v>355</v>
      </c>
      <c r="D6" s="322">
        <v>0.11</v>
      </c>
      <c r="E6" s="322">
        <v>0.18</v>
      </c>
      <c r="F6" s="271">
        <v>-0.38900000000000001</v>
      </c>
    </row>
    <row r="7" spans="1:6" ht="15" customHeight="1">
      <c r="B7" s="374" t="s">
        <v>345</v>
      </c>
      <c r="C7" s="321"/>
      <c r="D7" s="291"/>
      <c r="E7" s="291"/>
      <c r="F7" s="271"/>
    </row>
    <row r="8" spans="1:6" ht="15" customHeight="1">
      <c r="B8" s="370" t="s">
        <v>346</v>
      </c>
      <c r="C8" s="376" t="s">
        <v>355</v>
      </c>
      <c r="D8" s="322">
        <v>0.9385</v>
      </c>
      <c r="E8" s="322">
        <v>0.94879999999999998</v>
      </c>
      <c r="F8" s="271">
        <v>-1.0999999999999999E-2</v>
      </c>
    </row>
    <row r="9" spans="1:6" ht="15" customHeight="1">
      <c r="A9" s="2"/>
      <c r="B9" s="370" t="s">
        <v>347</v>
      </c>
      <c r="C9" s="376" t="s">
        <v>355</v>
      </c>
      <c r="D9" s="322">
        <v>0.13730000000000001</v>
      </c>
      <c r="E9" s="322">
        <v>0.24529999999999999</v>
      </c>
      <c r="F9" s="271">
        <v>-0.44</v>
      </c>
    </row>
    <row r="10" spans="1:6" ht="15" customHeight="1">
      <c r="A10" s="2"/>
      <c r="B10" s="370" t="s">
        <v>348</v>
      </c>
      <c r="C10" s="376" t="s">
        <v>355</v>
      </c>
      <c r="D10" s="322">
        <v>0.86270000000000002</v>
      </c>
      <c r="E10" s="322">
        <v>0.75470000000000004</v>
      </c>
      <c r="F10" s="271">
        <v>0.14299999999999999</v>
      </c>
    </row>
    <row r="11" spans="1:6" ht="15" customHeight="1">
      <c r="A11" s="2"/>
      <c r="B11" s="370" t="s">
        <v>349</v>
      </c>
      <c r="C11" s="376" t="s">
        <v>355</v>
      </c>
      <c r="D11" s="322">
        <v>5.79</v>
      </c>
      <c r="E11" s="322">
        <v>6.13</v>
      </c>
      <c r="F11" s="271">
        <v>-5.5E-2</v>
      </c>
    </row>
    <row r="12" spans="1:6" ht="15" customHeight="1">
      <c r="B12" s="374" t="s">
        <v>350</v>
      </c>
      <c r="C12" s="321"/>
      <c r="D12" s="291"/>
      <c r="E12" s="291"/>
      <c r="F12" s="271"/>
    </row>
    <row r="13" spans="1:6" ht="12.75">
      <c r="A13" s="2"/>
      <c r="B13" s="375" t="s">
        <v>351</v>
      </c>
      <c r="C13" s="376" t="s">
        <v>62</v>
      </c>
      <c r="D13" s="322">
        <v>9.92</v>
      </c>
      <c r="E13" s="322">
        <v>9.9</v>
      </c>
      <c r="F13" s="271">
        <v>2E-3</v>
      </c>
    </row>
    <row r="14" spans="1:6" ht="15" customHeight="1">
      <c r="A14" s="2"/>
      <c r="B14" s="370" t="s">
        <v>352</v>
      </c>
      <c r="C14" s="376" t="s">
        <v>62</v>
      </c>
      <c r="D14" s="322">
        <v>3.16</v>
      </c>
      <c r="E14" s="322">
        <v>3.1399999999999997</v>
      </c>
      <c r="F14" s="271">
        <v>6.0000000000000001E-3</v>
      </c>
    </row>
    <row r="15" spans="1:6" ht="15" customHeight="1">
      <c r="A15" s="2"/>
      <c r="B15" s="370" t="s">
        <v>353</v>
      </c>
      <c r="C15" s="376" t="s">
        <v>356</v>
      </c>
      <c r="D15" s="322">
        <v>57.57</v>
      </c>
      <c r="E15" s="322">
        <v>57.65</v>
      </c>
      <c r="F15" s="271">
        <v>-1E-3</v>
      </c>
    </row>
    <row r="16" spans="1:6" ht="15" customHeight="1">
      <c r="B16" s="370" t="s">
        <v>354</v>
      </c>
      <c r="C16" s="376" t="s">
        <v>62</v>
      </c>
      <c r="D16" s="322">
        <v>6.3100000000000005</v>
      </c>
      <c r="E16" s="322">
        <v>6.81</v>
      </c>
      <c r="F16" s="271">
        <v>-7.2999999999999995E-2</v>
      </c>
    </row>
    <row r="25" s="4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1"/>
  <sheetViews>
    <sheetView showGridLines="0" workbookViewId="0">
      <selection activeCell="E12" sqref="E12"/>
    </sheetView>
  </sheetViews>
  <sheetFormatPr baseColWidth="10" defaultRowHeight="12.75"/>
  <cols>
    <col min="2" max="2" width="27.7109375" customWidth="1"/>
    <col min="3" max="3" width="14.140625" style="263" bestFit="1" customWidth="1"/>
  </cols>
  <sheetData>
    <row r="3" spans="2:3">
      <c r="B3" s="285" t="s">
        <v>244</v>
      </c>
      <c r="C3" s="323"/>
    </row>
    <row r="4" spans="2:3">
      <c r="B4" s="286" t="s">
        <v>248</v>
      </c>
      <c r="C4" s="288" t="s">
        <v>275</v>
      </c>
    </row>
    <row r="5" spans="2:3">
      <c r="B5" s="286" t="s">
        <v>245</v>
      </c>
      <c r="C5" s="288" t="s">
        <v>275</v>
      </c>
    </row>
    <row r="6" spans="2:3">
      <c r="B6" s="286" t="s">
        <v>249</v>
      </c>
      <c r="C6" s="288" t="s">
        <v>253</v>
      </c>
    </row>
    <row r="7" spans="2:3">
      <c r="B7" s="321"/>
      <c r="C7" s="323"/>
    </row>
    <row r="8" spans="2:3">
      <c r="B8" s="285" t="s">
        <v>274</v>
      </c>
      <c r="C8" s="288" t="s">
        <v>276</v>
      </c>
    </row>
    <row r="9" spans="2:3">
      <c r="B9" s="321"/>
      <c r="C9" s="323"/>
    </row>
    <row r="10" spans="2:3">
      <c r="B10" s="285" t="s">
        <v>246</v>
      </c>
      <c r="C10" s="323"/>
    </row>
    <row r="11" spans="2:3">
      <c r="B11" s="286" t="s">
        <v>250</v>
      </c>
      <c r="C11" s="288" t="s">
        <v>260</v>
      </c>
    </row>
    <row r="12" spans="2:3">
      <c r="B12" s="286" t="s">
        <v>251</v>
      </c>
      <c r="C12" s="288" t="s">
        <v>276</v>
      </c>
    </row>
    <row r="13" spans="2:3">
      <c r="B13" s="286" t="s">
        <v>252</v>
      </c>
      <c r="C13" s="288" t="s">
        <v>253</v>
      </c>
    </row>
    <row r="14" spans="2:3">
      <c r="B14" s="286" t="s">
        <v>254</v>
      </c>
      <c r="C14" s="288" t="s">
        <v>253</v>
      </c>
    </row>
    <row r="15" spans="2:3">
      <c r="B15" s="321"/>
      <c r="C15" s="323"/>
    </row>
    <row r="16" spans="2:3">
      <c r="B16" s="285" t="s">
        <v>247</v>
      </c>
      <c r="C16" s="323"/>
    </row>
    <row r="17" spans="2:3">
      <c r="B17" s="286" t="s">
        <v>255</v>
      </c>
      <c r="C17" s="288" t="s">
        <v>262</v>
      </c>
    </row>
    <row r="18" spans="2:3">
      <c r="B18" s="286" t="s">
        <v>256</v>
      </c>
      <c r="C18" s="288" t="s">
        <v>262</v>
      </c>
    </row>
    <row r="19" spans="2:3">
      <c r="B19" s="286" t="s">
        <v>257</v>
      </c>
      <c r="C19" s="288" t="s">
        <v>262</v>
      </c>
    </row>
    <row r="20" spans="2:3">
      <c r="B20" s="286" t="s">
        <v>258</v>
      </c>
      <c r="C20" s="288" t="s">
        <v>276</v>
      </c>
    </row>
    <row r="21" spans="2:3">
      <c r="B21" s="287" t="s">
        <v>259</v>
      </c>
      <c r="C21" s="288" t="s">
        <v>261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7"/>
  <sheetViews>
    <sheetView showGridLines="0" workbookViewId="0">
      <selection activeCell="B3" sqref="B3:B8"/>
    </sheetView>
  </sheetViews>
  <sheetFormatPr baseColWidth="10" defaultRowHeight="15" customHeight="1"/>
  <cols>
    <col min="1" max="1" width="6" style="1" customWidth="1"/>
    <col min="2" max="2" width="33.28515625" style="1" customWidth="1"/>
    <col min="3" max="16384" width="11.42578125" style="1"/>
  </cols>
  <sheetData>
    <row r="3" spans="2:6" ht="15" customHeight="1" thickBot="1">
      <c r="B3" s="270" t="s">
        <v>357</v>
      </c>
      <c r="C3" s="290" t="s">
        <v>295</v>
      </c>
      <c r="D3" s="290" t="s">
        <v>296</v>
      </c>
      <c r="E3" s="290" t="s">
        <v>264</v>
      </c>
    </row>
    <row r="4" spans="2:6" ht="15" customHeight="1">
      <c r="B4" s="292" t="s">
        <v>358</v>
      </c>
      <c r="C4" s="267">
        <v>160708</v>
      </c>
      <c r="D4" s="267">
        <v>151883</v>
      </c>
      <c r="E4" s="271">
        <v>5.8000000000000003E-2</v>
      </c>
      <c r="F4" s="3"/>
    </row>
    <row r="5" spans="2:6" ht="15" customHeight="1">
      <c r="B5" s="292" t="s">
        <v>359</v>
      </c>
      <c r="C5" s="267">
        <v>-60922</v>
      </c>
      <c r="D5" s="267">
        <v>-86963</v>
      </c>
      <c r="E5" s="271">
        <v>-0.29899999999999999</v>
      </c>
      <c r="F5" s="3"/>
    </row>
    <row r="6" spans="2:6" ht="15" customHeight="1">
      <c r="B6" s="292" t="s">
        <v>360</v>
      </c>
      <c r="C6" s="267">
        <v>-127041</v>
      </c>
      <c r="D6" s="267">
        <v>-69954</v>
      </c>
      <c r="E6" s="271">
        <v>0.81599999999999995</v>
      </c>
      <c r="F6" s="3"/>
    </row>
    <row r="7" spans="2:6" ht="15" customHeight="1">
      <c r="B7" s="292" t="s">
        <v>361</v>
      </c>
      <c r="C7" s="269">
        <v>-27255</v>
      </c>
      <c r="D7" s="269">
        <v>-5034</v>
      </c>
      <c r="E7" s="272">
        <v>4.4139999999999997</v>
      </c>
      <c r="F7" s="3"/>
    </row>
    <row r="8" spans="2:6" ht="15" customHeight="1">
      <c r="B8" s="268" t="s">
        <v>362</v>
      </c>
      <c r="C8" s="269">
        <v>13044</v>
      </c>
      <c r="D8" s="269">
        <v>32173</v>
      </c>
      <c r="E8" s="272">
        <v>-0.59499999999999997</v>
      </c>
      <c r="F8" s="3"/>
    </row>
    <row r="27" s="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tabSelected="1" workbookViewId="0">
      <selection activeCell="H11" sqref="H11"/>
    </sheetView>
  </sheetViews>
  <sheetFormatPr baseColWidth="10" defaultRowHeight="15" customHeight="1"/>
  <cols>
    <col min="2" max="2" width="18.28515625" bestFit="1" customWidth="1"/>
    <col min="4" max="8" width="12.7109375" customWidth="1"/>
  </cols>
  <sheetData>
    <row r="1" spans="2:8" ht="15" customHeight="1">
      <c r="B1" s="321"/>
      <c r="C1" s="321"/>
      <c r="D1" s="321"/>
      <c r="E1" s="341"/>
      <c r="F1" s="341"/>
      <c r="G1" s="341"/>
      <c r="H1" s="341"/>
    </row>
    <row r="2" spans="2:8" ht="15" customHeight="1" thickBot="1">
      <c r="B2" s="325"/>
      <c r="C2" s="373" t="s">
        <v>363</v>
      </c>
      <c r="D2" s="373" t="s">
        <v>272</v>
      </c>
      <c r="E2" s="373" t="s">
        <v>364</v>
      </c>
      <c r="F2" s="373" t="s">
        <v>365</v>
      </c>
      <c r="G2" s="373" t="s">
        <v>366</v>
      </c>
      <c r="H2" s="373" t="s">
        <v>367</v>
      </c>
    </row>
    <row r="3" spans="2:8" ht="15" customHeight="1">
      <c r="B3" s="370" t="s">
        <v>368</v>
      </c>
      <c r="C3" s="273" t="s">
        <v>273</v>
      </c>
      <c r="D3" s="267">
        <v>479761</v>
      </c>
      <c r="E3" s="267">
        <v>21918</v>
      </c>
      <c r="F3" s="267">
        <v>65883</v>
      </c>
      <c r="G3" s="267">
        <v>40506</v>
      </c>
      <c r="H3" s="267">
        <v>351454</v>
      </c>
    </row>
    <row r="4" spans="2:8" ht="15" customHeight="1">
      <c r="B4" s="370" t="s">
        <v>369</v>
      </c>
      <c r="C4" s="273" t="s">
        <v>63</v>
      </c>
      <c r="D4" s="267">
        <v>109774</v>
      </c>
      <c r="E4" s="267">
        <v>19251</v>
      </c>
      <c r="F4" s="267">
        <v>51253</v>
      </c>
      <c r="G4" s="411">
        <v>20000</v>
      </c>
      <c r="H4" s="411">
        <v>19270</v>
      </c>
    </row>
    <row r="5" spans="2:8" ht="15" customHeight="1" thickBot="1">
      <c r="B5" s="377" t="s">
        <v>370</v>
      </c>
      <c r="C5" s="283" t="s">
        <v>273</v>
      </c>
      <c r="D5" s="284">
        <v>146252</v>
      </c>
      <c r="E5" s="284">
        <v>2085</v>
      </c>
      <c r="F5" s="284">
        <v>24684</v>
      </c>
      <c r="G5" s="284">
        <v>27337</v>
      </c>
      <c r="H5" s="284">
        <v>92146</v>
      </c>
    </row>
    <row r="6" spans="2:8" ht="15" customHeight="1">
      <c r="B6" s="326" t="s">
        <v>267</v>
      </c>
      <c r="C6" s="321"/>
      <c r="D6" s="269">
        <f>SUM(D3:D5)</f>
        <v>735787</v>
      </c>
      <c r="E6" s="269">
        <f t="shared" ref="E6:H6" si="0">SUM(E3:E5)</f>
        <v>43254</v>
      </c>
      <c r="F6" s="269">
        <f t="shared" si="0"/>
        <v>141820</v>
      </c>
      <c r="G6" s="269">
        <f t="shared" si="0"/>
        <v>87843</v>
      </c>
      <c r="H6" s="269">
        <f t="shared" si="0"/>
        <v>462870</v>
      </c>
    </row>
    <row r="8" spans="2:8" ht="15" customHeight="1">
      <c r="D8" s="327"/>
      <c r="E8" s="327"/>
      <c r="F8" s="327"/>
      <c r="G8" s="327"/>
      <c r="H8" s="327"/>
    </row>
    <row r="9" spans="2:8" ht="15" customHeight="1">
      <c r="B9" s="329" t="s">
        <v>368</v>
      </c>
      <c r="C9" s="330">
        <v>0.65</v>
      </c>
      <c r="D9" s="331">
        <v>513924</v>
      </c>
      <c r="E9" s="329"/>
      <c r="F9" s="329" t="s">
        <v>371</v>
      </c>
      <c r="G9" s="330">
        <v>0.85</v>
      </c>
      <c r="H9" s="331">
        <v>646296</v>
      </c>
    </row>
    <row r="10" spans="2:8" ht="15" customHeight="1">
      <c r="B10" s="329" t="s">
        <v>369</v>
      </c>
      <c r="C10" s="330">
        <v>0.15</v>
      </c>
      <c r="D10" s="331">
        <v>93602</v>
      </c>
      <c r="E10" s="329"/>
      <c r="F10" s="329" t="s">
        <v>280</v>
      </c>
      <c r="G10" s="332">
        <v>0.15</v>
      </c>
      <c r="H10" s="331">
        <v>93602</v>
      </c>
    </row>
    <row r="11" spans="2:8" ht="15" customHeight="1">
      <c r="B11" s="329" t="s">
        <v>370</v>
      </c>
      <c r="C11" s="330">
        <v>0.2</v>
      </c>
      <c r="D11" s="331">
        <v>132372</v>
      </c>
      <c r="E11" s="329"/>
      <c r="F11" s="329"/>
      <c r="G11" s="330"/>
      <c r="H11" s="331"/>
    </row>
    <row r="12" spans="2:8" ht="15" customHeight="1">
      <c r="C12" s="328"/>
      <c r="D12" s="327"/>
    </row>
    <row r="13" spans="2:8" ht="15" customHeight="1">
      <c r="D13" s="327"/>
      <c r="E13" s="327"/>
      <c r="F13" s="327"/>
      <c r="G13" s="327"/>
      <c r="H13" s="327"/>
    </row>
    <row r="14" spans="2:8" ht="15" customHeight="1">
      <c r="D14" s="327"/>
      <c r="E14" s="327"/>
      <c r="F14" s="327"/>
      <c r="G14" s="327"/>
      <c r="H14" s="327"/>
    </row>
    <row r="15" spans="2:8" ht="15" customHeight="1">
      <c r="D15" s="327"/>
      <c r="E15" s="327"/>
      <c r="F15" s="327"/>
      <c r="G15" s="327"/>
      <c r="H15" s="32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W203"/>
  <sheetViews>
    <sheetView showGridLines="0" topLeftCell="F30" workbookViewId="0">
      <selection activeCell="K39" sqref="K39"/>
    </sheetView>
  </sheetViews>
  <sheetFormatPr baseColWidth="10" defaultRowHeight="15" customHeight="1"/>
  <cols>
    <col min="1" max="1" width="3.85546875" style="7" customWidth="1"/>
    <col min="2" max="2" width="51.140625" style="7" customWidth="1"/>
    <col min="3" max="3" width="16.28515625" style="7" customWidth="1"/>
    <col min="4" max="4" width="18.85546875" style="7" bestFit="1" customWidth="1"/>
    <col min="5" max="5" width="18.5703125" style="7" bestFit="1" customWidth="1"/>
    <col min="6" max="7" width="16.7109375" style="7" customWidth="1"/>
    <col min="8" max="8" width="4.5703125" style="7" customWidth="1"/>
    <col min="9" max="9" width="31.5703125" style="7" customWidth="1"/>
    <col min="10" max="10" width="7.140625" style="7" customWidth="1"/>
    <col min="11" max="11" width="21" style="7" bestFit="1" customWidth="1"/>
    <col min="12" max="12" width="11.140625" style="100" customWidth="1"/>
    <col min="13" max="13" width="17.85546875" style="100" customWidth="1"/>
    <col min="14" max="14" width="11.140625" style="100" customWidth="1"/>
    <col min="15" max="15" width="1.7109375" style="100" customWidth="1"/>
    <col min="16" max="16" width="10.7109375" style="7" customWidth="1"/>
    <col min="17" max="17" width="11.7109375" style="101" customWidth="1"/>
    <col min="18" max="18" width="9.85546875" style="7" bestFit="1" customWidth="1"/>
    <col min="19" max="19" width="11.85546875" style="7" bestFit="1" customWidth="1"/>
    <col min="20" max="16384" width="11.42578125" style="7"/>
  </cols>
  <sheetData>
    <row r="1" spans="2:23" ht="15" customHeight="1">
      <c r="B1" s="5" t="s">
        <v>242</v>
      </c>
    </row>
    <row r="2" spans="2:23" ht="15" customHeight="1">
      <c r="B2" s="5" t="s">
        <v>241</v>
      </c>
      <c r="R2" s="102"/>
      <c r="S2" s="102"/>
      <c r="T2" s="102"/>
      <c r="U2" s="103"/>
      <c r="V2" s="102"/>
      <c r="W2" s="102"/>
    </row>
    <row r="3" spans="2:23" ht="15" customHeight="1" thickBot="1">
      <c r="I3" s="104" t="s">
        <v>1</v>
      </c>
      <c r="M3" s="105"/>
      <c r="Q3" s="106"/>
      <c r="R3" s="107"/>
      <c r="S3" s="108"/>
      <c r="T3" s="102"/>
      <c r="U3" s="102"/>
      <c r="V3" s="102"/>
      <c r="W3" s="102"/>
    </row>
    <row r="4" spans="2:23" ht="15" customHeight="1" thickBot="1">
      <c r="B4" s="109" t="s">
        <v>3</v>
      </c>
      <c r="C4" s="110"/>
      <c r="D4" s="111" t="s">
        <v>294</v>
      </c>
      <c r="E4" s="112" t="s">
        <v>262</v>
      </c>
      <c r="F4" s="113"/>
      <c r="G4" s="111" t="s">
        <v>275</v>
      </c>
      <c r="I4" s="5" t="s">
        <v>2</v>
      </c>
      <c r="K4" s="114" t="str">
        <f>+D4</f>
        <v>Septiembre 2014</v>
      </c>
      <c r="M4" s="114" t="str">
        <f>+E4</f>
        <v>Diciembre 2013</v>
      </c>
      <c r="O4" s="107"/>
      <c r="P4" s="115"/>
      <c r="Q4" s="106"/>
      <c r="R4" s="107"/>
      <c r="S4" s="116"/>
      <c r="T4" s="116"/>
      <c r="U4" s="117"/>
      <c r="V4" s="116"/>
      <c r="W4" s="116"/>
    </row>
    <row r="5" spans="2:23" ht="15" customHeight="1" thickBot="1">
      <c r="B5" s="118"/>
      <c r="C5" s="119"/>
      <c r="D5" s="119"/>
      <c r="E5" s="120"/>
      <c r="F5" s="107"/>
      <c r="G5" s="349"/>
      <c r="I5" s="121" t="s">
        <v>4</v>
      </c>
      <c r="K5" s="122"/>
      <c r="L5" s="105"/>
      <c r="N5" s="105"/>
      <c r="O5" s="107"/>
      <c r="Q5" s="123"/>
    </row>
    <row r="6" spans="2:23" ht="15" customHeight="1">
      <c r="B6" s="124" t="s">
        <v>44</v>
      </c>
      <c r="C6" s="125" t="s">
        <v>5</v>
      </c>
      <c r="D6" s="126">
        <f>+Balance!D20</f>
        <v>100639818</v>
      </c>
      <c r="E6" s="127">
        <f>+Balance!E20</f>
        <v>134622821</v>
      </c>
      <c r="F6" s="128"/>
      <c r="G6" s="350">
        <v>118853976</v>
      </c>
      <c r="I6" s="5" t="s">
        <v>6</v>
      </c>
      <c r="K6" s="122"/>
      <c r="L6" s="105"/>
      <c r="N6" s="105"/>
      <c r="O6" s="107"/>
      <c r="P6" s="129"/>
      <c r="Q6" s="106"/>
    </row>
    <row r="7" spans="2:23" ht="15" customHeight="1">
      <c r="B7" s="124" t="s">
        <v>45</v>
      </c>
      <c r="C7" s="125" t="s">
        <v>5</v>
      </c>
      <c r="D7" s="126">
        <f>+Balance!D31</f>
        <v>1725960549</v>
      </c>
      <c r="E7" s="127">
        <f>+Balance!E31</f>
        <v>1716132962</v>
      </c>
      <c r="F7" s="128"/>
      <c r="G7" s="350">
        <v>1698911906</v>
      </c>
      <c r="I7" s="9" t="s">
        <v>42</v>
      </c>
      <c r="J7" s="7" t="s">
        <v>7</v>
      </c>
      <c r="K7" s="130">
        <f>+D6</f>
        <v>100639818</v>
      </c>
      <c r="L7" s="131">
        <f>ROUND(K7/K8,2)</f>
        <v>0.83</v>
      </c>
      <c r="M7" s="130">
        <f>+E6</f>
        <v>134622821</v>
      </c>
      <c r="N7" s="131">
        <f>ROUND(M7/M8,2)</f>
        <v>0.61</v>
      </c>
      <c r="O7" s="132"/>
      <c r="P7" s="133">
        <f>ROUND((L7/N7)-1,4)</f>
        <v>0.36070000000000002</v>
      </c>
      <c r="Q7" s="134">
        <f>ROUND((K7/M7)-1,3)</f>
        <v>-0.252</v>
      </c>
      <c r="R7" s="122">
        <f>+K7-M7</f>
        <v>-33983003</v>
      </c>
    </row>
    <row r="8" spans="2:23" ht="15" customHeight="1">
      <c r="B8" s="135" t="s">
        <v>8</v>
      </c>
      <c r="C8" s="136"/>
      <c r="D8" s="137">
        <f>SUM(D6:D7)</f>
        <v>1826600367</v>
      </c>
      <c r="E8" s="138">
        <f>SUM(E6:E7)</f>
        <v>1850755783</v>
      </c>
      <c r="F8" s="139"/>
      <c r="G8" s="138">
        <f>SUM(G6:G7)</f>
        <v>1817765882</v>
      </c>
      <c r="I8" s="107" t="s">
        <v>43</v>
      </c>
      <c r="K8" s="122">
        <f>+D10</f>
        <v>121380598</v>
      </c>
      <c r="L8" s="105"/>
      <c r="M8" s="122">
        <f>+E10</f>
        <v>221032510</v>
      </c>
      <c r="N8" s="105"/>
      <c r="O8" s="107"/>
      <c r="P8" s="140"/>
      <c r="Q8" s="134">
        <f>ROUND((K8/M8)-1,3)</f>
        <v>-0.45100000000000001</v>
      </c>
      <c r="R8" s="122">
        <f>+K8-M8</f>
        <v>-99651912</v>
      </c>
    </row>
    <row r="9" spans="2:23" ht="15" customHeight="1">
      <c r="B9" s="124"/>
      <c r="C9" s="119"/>
      <c r="D9" s="126"/>
      <c r="E9" s="127"/>
      <c r="F9" s="128"/>
      <c r="G9" s="350"/>
      <c r="I9" s="141" t="s">
        <v>9</v>
      </c>
      <c r="K9" s="122"/>
      <c r="L9" s="105"/>
      <c r="M9" s="122"/>
      <c r="N9" s="105"/>
      <c r="O9" s="107"/>
      <c r="P9" s="142"/>
      <c r="Q9" s="106"/>
    </row>
    <row r="10" spans="2:23" ht="15" customHeight="1">
      <c r="B10" s="124" t="s">
        <v>47</v>
      </c>
      <c r="C10" s="125" t="s">
        <v>5</v>
      </c>
      <c r="D10" s="126">
        <f>+Balance!D50</f>
        <v>121380598</v>
      </c>
      <c r="E10" s="127">
        <f>+Balance!E50</f>
        <v>221032510</v>
      </c>
      <c r="F10" s="128">
        <f>+D10-E10</f>
        <v>-99651912</v>
      </c>
      <c r="G10" s="350">
        <v>182212500</v>
      </c>
      <c r="I10" s="143" t="s">
        <v>52</v>
      </c>
      <c r="J10" s="7" t="s">
        <v>7</v>
      </c>
      <c r="K10" s="130">
        <f>+D33</f>
        <v>13044457</v>
      </c>
      <c r="L10" s="131">
        <f>ROUND(K10/K11,2)</f>
        <v>0.11</v>
      </c>
      <c r="M10" s="130">
        <f>+F33</f>
        <v>40299181</v>
      </c>
      <c r="N10" s="131">
        <f>ROUND(M10/M11,2)</f>
        <v>0.18</v>
      </c>
      <c r="O10" s="132"/>
      <c r="P10" s="133">
        <f>ROUND((L10/N10)-1,4)</f>
        <v>-0.38890000000000002</v>
      </c>
      <c r="Q10" s="134">
        <f>ROUND((K10/M10)-1,3)</f>
        <v>-0.67600000000000005</v>
      </c>
      <c r="R10" s="122">
        <f>+K10-M10</f>
        <v>-27254724</v>
      </c>
      <c r="S10" s="265">
        <f>+L10-N10</f>
        <v>-6.9999999999999993E-2</v>
      </c>
    </row>
    <row r="11" spans="2:23" ht="15" customHeight="1" thickBot="1">
      <c r="B11" s="124" t="s">
        <v>46</v>
      </c>
      <c r="C11" s="125" t="s">
        <v>5</v>
      </c>
      <c r="D11" s="126">
        <f>+Balance!D59</f>
        <v>762950135</v>
      </c>
      <c r="E11" s="127">
        <f>+Balance!E59</f>
        <v>680044052</v>
      </c>
      <c r="F11" s="128">
        <f>+D11-E11</f>
        <v>82906083</v>
      </c>
      <c r="G11" s="350">
        <v>683083069</v>
      </c>
      <c r="I11" s="107" t="s">
        <v>43</v>
      </c>
      <c r="K11" s="122">
        <f>+D10</f>
        <v>121380598</v>
      </c>
      <c r="L11" s="105"/>
      <c r="M11" s="122">
        <f>+E10</f>
        <v>221032510</v>
      </c>
      <c r="N11" s="105"/>
      <c r="O11" s="107"/>
      <c r="P11" s="140"/>
      <c r="Q11" s="134">
        <f>ROUND((K11/M11)-1,3)</f>
        <v>-0.45100000000000001</v>
      </c>
      <c r="R11" s="122">
        <f>+K11-M11</f>
        <v>-99651912</v>
      </c>
      <c r="S11" s="7">
        <f>+S10/N10</f>
        <v>-0.38888888888888884</v>
      </c>
    </row>
    <row r="12" spans="2:23" ht="15" customHeight="1" thickBot="1">
      <c r="B12" s="124" t="s">
        <v>48</v>
      </c>
      <c r="C12" s="125" t="s">
        <v>5</v>
      </c>
      <c r="D12" s="126">
        <f>+Balance!D71</f>
        <v>363019917</v>
      </c>
      <c r="E12" s="127">
        <f>+Balance!E71</f>
        <v>368767137</v>
      </c>
      <c r="F12" s="128">
        <f>+D12-E12</f>
        <v>-5747220</v>
      </c>
      <c r="G12" s="350">
        <v>370581703</v>
      </c>
      <c r="I12" s="121" t="s">
        <v>10</v>
      </c>
      <c r="K12" s="122"/>
      <c r="L12" s="105"/>
      <c r="M12" s="122"/>
      <c r="N12" s="105"/>
      <c r="O12" s="107"/>
      <c r="P12" s="140"/>
      <c r="Q12" s="106"/>
    </row>
    <row r="13" spans="2:23" ht="15" customHeight="1">
      <c r="B13" s="124" t="s">
        <v>89</v>
      </c>
      <c r="C13" s="125" t="s">
        <v>5</v>
      </c>
      <c r="D13" s="126">
        <f>+Balance!D70</f>
        <v>579249717</v>
      </c>
      <c r="E13" s="127">
        <f>+Balance!E70</f>
        <v>580912084</v>
      </c>
      <c r="F13" s="128">
        <f>+D13-E13</f>
        <v>-1662367</v>
      </c>
      <c r="G13" s="350">
        <v>581888610</v>
      </c>
      <c r="I13" s="5" t="s">
        <v>11</v>
      </c>
      <c r="K13" s="122"/>
      <c r="L13" s="105"/>
      <c r="M13" s="122"/>
      <c r="N13" s="105"/>
      <c r="O13" s="107"/>
      <c r="P13" s="140"/>
      <c r="Q13" s="106"/>
    </row>
    <row r="14" spans="2:23" ht="15" customHeight="1" thickBot="1">
      <c r="B14" s="144" t="s">
        <v>8</v>
      </c>
      <c r="C14" s="145"/>
      <c r="D14" s="146">
        <f>SUM(D10:D13)</f>
        <v>1826600367</v>
      </c>
      <c r="E14" s="147">
        <f>SUM(E10:E13)</f>
        <v>1850755783</v>
      </c>
      <c r="F14" s="139"/>
      <c r="G14" s="147">
        <f>SUM(G10:G13)</f>
        <v>1817765882</v>
      </c>
      <c r="I14" s="9" t="s">
        <v>12</v>
      </c>
      <c r="J14" s="7" t="s">
        <v>7</v>
      </c>
      <c r="K14" s="130">
        <f>+D10+D11</f>
        <v>884330733</v>
      </c>
      <c r="L14" s="148">
        <f>ROUND(K14/K15,4)</f>
        <v>0.9385</v>
      </c>
      <c r="M14" s="130">
        <f>+E10+E11</f>
        <v>901076562</v>
      </c>
      <c r="N14" s="148">
        <f>ROUND(M14/M15,4)</f>
        <v>0.94879999999999998</v>
      </c>
      <c r="O14" s="149"/>
      <c r="P14" s="133">
        <f>ROUND((L14/N14)-1,4)</f>
        <v>-1.09E-2</v>
      </c>
      <c r="Q14" s="134">
        <f>ROUND((K14/M14)-1,3)</f>
        <v>-1.9E-2</v>
      </c>
      <c r="R14" s="122">
        <f>+K14-M14</f>
        <v>-16745829</v>
      </c>
    </row>
    <row r="15" spans="2:23" ht="15" customHeight="1" thickBot="1">
      <c r="B15" s="150"/>
      <c r="C15" s="102"/>
      <c r="D15" s="151"/>
      <c r="E15" s="151"/>
      <c r="F15" s="151"/>
      <c r="G15" s="151"/>
      <c r="I15" s="7" t="s">
        <v>87</v>
      </c>
      <c r="K15" s="122">
        <f>+D13+D12</f>
        <v>942269634</v>
      </c>
      <c r="L15" s="105"/>
      <c r="M15" s="122">
        <f>+E13+E12</f>
        <v>949679221</v>
      </c>
      <c r="N15" s="105"/>
      <c r="O15" s="107"/>
      <c r="P15" s="140"/>
      <c r="Q15" s="134">
        <f>ROUND((K15/M15)-1,3)</f>
        <v>-8.0000000000000002E-3</v>
      </c>
      <c r="R15" s="122">
        <f>+K15-M15</f>
        <v>-7409587</v>
      </c>
    </row>
    <row r="16" spans="2:23" ht="15" customHeight="1">
      <c r="B16" s="109" t="s">
        <v>13</v>
      </c>
      <c r="C16" s="110"/>
      <c r="D16" s="152" t="str">
        <f>+D4</f>
        <v>Septiembre 2014</v>
      </c>
      <c r="E16" s="111" t="s">
        <v>275</v>
      </c>
      <c r="F16" s="112" t="s">
        <v>262</v>
      </c>
      <c r="G16" s="335"/>
      <c r="I16" s="5" t="s">
        <v>14</v>
      </c>
      <c r="K16" s="122"/>
      <c r="L16" s="105"/>
      <c r="M16" s="122"/>
      <c r="N16" s="105"/>
      <c r="O16" s="107"/>
      <c r="P16" s="129"/>
      <c r="Q16" s="106"/>
    </row>
    <row r="17" spans="1:21" ht="15" customHeight="1">
      <c r="B17" s="153"/>
      <c r="C17" s="154"/>
      <c r="D17" s="155"/>
      <c r="E17" s="155"/>
      <c r="F17" s="156"/>
      <c r="G17" s="336"/>
      <c r="I17" s="157" t="s">
        <v>43</v>
      </c>
      <c r="J17" s="7" t="s">
        <v>7</v>
      </c>
      <c r="K17" s="130">
        <f>+D10</f>
        <v>121380598</v>
      </c>
      <c r="L17" s="148">
        <f>ROUND(K17/K18,4)</f>
        <v>0.13730000000000001</v>
      </c>
      <c r="M17" s="130">
        <f>+E10</f>
        <v>221032510</v>
      </c>
      <c r="N17" s="148">
        <f>ROUND(M17/M18,4)</f>
        <v>0.24529999999999999</v>
      </c>
      <c r="O17" s="149"/>
      <c r="P17" s="133">
        <f>ROUND((L17/N17)-1,4)</f>
        <v>-0.44030000000000002</v>
      </c>
      <c r="Q17" s="134">
        <f>ROUND((K17/M17)-1,3)</f>
        <v>-0.45100000000000001</v>
      </c>
      <c r="R17" s="122">
        <f>+K17-M17</f>
        <v>-99651912</v>
      </c>
    </row>
    <row r="18" spans="1:21" ht="15" customHeight="1">
      <c r="B18" s="158" t="s">
        <v>57</v>
      </c>
      <c r="C18" s="159" t="s">
        <v>5</v>
      </c>
      <c r="D18" s="155">
        <f>+C50</f>
        <v>317524894</v>
      </c>
      <c r="E18" s="155">
        <f>+D50</f>
        <v>291201763</v>
      </c>
      <c r="F18" s="156">
        <f>+[2]cálculos!D18</f>
        <v>402791320</v>
      </c>
      <c r="G18" s="336"/>
      <c r="I18" s="7" t="s">
        <v>15</v>
      </c>
      <c r="K18" s="122">
        <f>+D10+D11</f>
        <v>884330733</v>
      </c>
      <c r="L18" s="105"/>
      <c r="M18" s="122">
        <f>+E10+E11</f>
        <v>901076562</v>
      </c>
      <c r="N18" s="105"/>
      <c r="O18" s="107"/>
      <c r="P18" s="140"/>
      <c r="Q18" s="134">
        <f>ROUND((K18/M18)-1,3)</f>
        <v>-1.9E-2</v>
      </c>
      <c r="R18" s="122">
        <f>+K18-M18</f>
        <v>-16745829</v>
      </c>
    </row>
    <row r="19" spans="1:21" ht="15" customHeight="1">
      <c r="B19" s="158" t="s">
        <v>58</v>
      </c>
      <c r="C19" s="159" t="s">
        <v>5</v>
      </c>
      <c r="D19" s="155">
        <f>-C51-C53-C54-C55-C52</f>
        <v>174619788</v>
      </c>
      <c r="E19" s="155">
        <f>-D51-D53-D54-D55-D52</f>
        <v>165726667</v>
      </c>
      <c r="F19" s="156">
        <f>+[2]cálculos!D19</f>
        <v>221098572</v>
      </c>
      <c r="G19" s="336"/>
      <c r="I19" s="5" t="s">
        <v>16</v>
      </c>
      <c r="K19" s="122"/>
      <c r="L19" s="105"/>
      <c r="M19" s="122"/>
      <c r="N19" s="105"/>
      <c r="O19" s="107"/>
      <c r="P19" s="129"/>
      <c r="Q19" s="160"/>
      <c r="R19" s="161"/>
      <c r="S19" s="140"/>
      <c r="U19" s="122"/>
    </row>
    <row r="20" spans="1:21" ht="15" customHeight="1">
      <c r="B20" s="153" t="s">
        <v>65</v>
      </c>
      <c r="C20" s="154" t="s">
        <v>5</v>
      </c>
      <c r="D20" s="162">
        <f>+C64</f>
        <v>101561054</v>
      </c>
      <c r="E20" s="162">
        <f>+D64</f>
        <v>103633361</v>
      </c>
      <c r="F20" s="163">
        <f>+[2]cálculos!D20</f>
        <v>148232829</v>
      </c>
      <c r="G20" s="337"/>
      <c r="I20" s="157" t="s">
        <v>53</v>
      </c>
      <c r="J20" s="7" t="s">
        <v>7</v>
      </c>
      <c r="K20" s="130">
        <f>+D11</f>
        <v>762950135</v>
      </c>
      <c r="L20" s="148">
        <f>ROUND(K20/K21,4)</f>
        <v>0.86270000000000002</v>
      </c>
      <c r="M20" s="130">
        <f>+E11</f>
        <v>680044052</v>
      </c>
      <c r="N20" s="148">
        <f>ROUND(M20/M21,4)</f>
        <v>0.75470000000000004</v>
      </c>
      <c r="O20" s="149"/>
      <c r="P20" s="133">
        <f>ROUND((L20/N20)-1,4)</f>
        <v>0.1431</v>
      </c>
      <c r="Q20" s="134">
        <f>ROUND((K20/M20)-1,3)</f>
        <v>0.122</v>
      </c>
      <c r="R20" s="122">
        <f>+K20-M20</f>
        <v>82906083</v>
      </c>
      <c r="S20" s="140"/>
      <c r="U20" s="122"/>
    </row>
    <row r="21" spans="1:21" ht="15" customHeight="1">
      <c r="B21" s="158" t="s">
        <v>19</v>
      </c>
      <c r="C21" s="159" t="s">
        <v>5</v>
      </c>
      <c r="D21" s="155">
        <f>+C58</f>
        <v>-23527839</v>
      </c>
      <c r="E21" s="155">
        <f>+D58</f>
        <v>-21900066</v>
      </c>
      <c r="F21" s="156">
        <f>+[2]cálculos!D21</f>
        <v>-28886895</v>
      </c>
      <c r="G21" s="336"/>
      <c r="I21" s="7" t="s">
        <v>15</v>
      </c>
      <c r="K21" s="122">
        <f>+K18</f>
        <v>884330733</v>
      </c>
      <c r="L21" s="105" t="s">
        <v>1</v>
      </c>
      <c r="M21" s="122">
        <f>+M18</f>
        <v>901076562</v>
      </c>
      <c r="N21" s="105" t="s">
        <v>1</v>
      </c>
      <c r="O21" s="107"/>
      <c r="P21" s="140"/>
      <c r="Q21" s="134">
        <f>ROUND((K21/M21)-1,3)</f>
        <v>-1.9E-2</v>
      </c>
      <c r="R21" s="122">
        <f>+K21-M21</f>
        <v>-16745829</v>
      </c>
      <c r="U21" s="122"/>
    </row>
    <row r="22" spans="1:21" ht="15" customHeight="1">
      <c r="B22" s="158" t="s">
        <v>21</v>
      </c>
      <c r="C22" s="159" t="s">
        <v>5</v>
      </c>
      <c r="D22" s="155">
        <f>+K32</f>
        <v>87701179</v>
      </c>
      <c r="E22" s="155">
        <f>+L32</f>
        <v>0</v>
      </c>
      <c r="F22" s="156">
        <f>+[2]cálculos!D22</f>
        <v>119336900</v>
      </c>
      <c r="G22" s="336"/>
      <c r="I22" s="5" t="s">
        <v>17</v>
      </c>
      <c r="K22" s="122"/>
      <c r="L22" s="105"/>
      <c r="M22" s="122"/>
      <c r="N22" s="105"/>
      <c r="O22" s="107"/>
      <c r="P22" s="140"/>
      <c r="Q22" s="164"/>
    </row>
    <row r="23" spans="1:21" ht="15" customHeight="1">
      <c r="B23" s="158" t="s">
        <v>22</v>
      </c>
      <c r="C23" s="159" t="s">
        <v>5</v>
      </c>
      <c r="D23" s="155">
        <f>+C68</f>
        <v>40013406</v>
      </c>
      <c r="E23" s="155">
        <f>+D68</f>
        <v>40086479</v>
      </c>
      <c r="F23" s="156">
        <f>+[2]cálculos!D23</f>
        <v>57647853</v>
      </c>
      <c r="G23" s="336"/>
      <c r="I23" s="9" t="s">
        <v>18</v>
      </c>
      <c r="J23" s="102"/>
      <c r="K23" s="165">
        <f>Anualizados!C13</f>
        <v>176675190</v>
      </c>
      <c r="L23" s="131">
        <f>ROUND(K23/K24,2)</f>
        <v>5.79</v>
      </c>
      <c r="M23" s="165">
        <f>+F20-F21</f>
        <v>177119724</v>
      </c>
      <c r="N23" s="131">
        <f>ROUND(M23/M24,2)</f>
        <v>6.13</v>
      </c>
      <c r="O23" s="166"/>
      <c r="P23" s="133">
        <f>ROUND((L23/N23)-1,4)</f>
        <v>-5.5500000000000001E-2</v>
      </c>
      <c r="Q23" s="134">
        <f>ROUND((K23/M23)-1,3)</f>
        <v>-3.0000000000000001E-3</v>
      </c>
      <c r="R23" s="122">
        <f>+K23-M23</f>
        <v>-444534</v>
      </c>
    </row>
    <row r="24" spans="1:21" ht="15" customHeight="1" thickBot="1">
      <c r="B24" s="158" t="s">
        <v>23</v>
      </c>
      <c r="C24" s="159" t="s">
        <v>5</v>
      </c>
      <c r="D24" s="155">
        <f>+C65</f>
        <v>-18259400</v>
      </c>
      <c r="E24" s="155">
        <f>+D65</f>
        <v>-20883357</v>
      </c>
      <c r="F24" s="156">
        <f>+[2]cálculos!D24</f>
        <v>-29333029</v>
      </c>
      <c r="G24" s="336"/>
      <c r="I24" s="107" t="s">
        <v>20</v>
      </c>
      <c r="K24" s="105">
        <f>Anualizados!C20</f>
        <v>30514668</v>
      </c>
      <c r="L24" s="167"/>
      <c r="M24" s="105">
        <f>-E58</f>
        <v>28886895</v>
      </c>
      <c r="N24" s="167"/>
      <c r="O24" s="107"/>
      <c r="P24" s="122"/>
      <c r="Q24" s="247">
        <f>ROUND((K24/M24)-1,3)</f>
        <v>5.6000000000000001E-2</v>
      </c>
      <c r="R24" s="122">
        <f>+K24-M24</f>
        <v>1627773</v>
      </c>
      <c r="U24" s="168"/>
    </row>
    <row r="25" spans="1:21" ht="15" customHeight="1" thickBot="1">
      <c r="B25" s="169" t="s">
        <v>59</v>
      </c>
      <c r="C25" s="170" t="s">
        <v>5</v>
      </c>
      <c r="D25" s="171">
        <f>+C53</f>
        <v>-49188782</v>
      </c>
      <c r="E25" s="171">
        <f>+D53</f>
        <v>-48758589</v>
      </c>
      <c r="F25" s="334">
        <f>+[2]cálculos!D25</f>
        <v>-64721070</v>
      </c>
      <c r="G25" s="336"/>
      <c r="I25" s="248" t="s">
        <v>24</v>
      </c>
      <c r="J25" s="249"/>
      <c r="K25" s="250"/>
      <c r="L25" s="251"/>
      <c r="M25" s="250"/>
      <c r="N25" s="251"/>
      <c r="O25" s="252"/>
      <c r="P25" s="253"/>
      <c r="Q25" s="252"/>
      <c r="R25" s="100"/>
      <c r="U25" s="100"/>
    </row>
    <row r="26" spans="1:21" ht="15" customHeight="1" thickBot="1">
      <c r="B26" s="102"/>
      <c r="C26" s="116"/>
      <c r="D26" s="172"/>
      <c r="E26" s="173"/>
      <c r="F26" s="172"/>
      <c r="G26" s="172"/>
      <c r="I26" s="249" t="s">
        <v>54</v>
      </c>
      <c r="J26" s="249" t="s">
        <v>7</v>
      </c>
      <c r="K26" s="254">
        <f>+D23</f>
        <v>40013406</v>
      </c>
      <c r="L26" s="251"/>
      <c r="M26" s="254">
        <f>+F23</f>
        <v>57647853</v>
      </c>
      <c r="N26" s="251"/>
      <c r="O26" s="252"/>
      <c r="P26" s="253"/>
      <c r="Q26" s="252">
        <v>1000</v>
      </c>
      <c r="S26" s="140"/>
    </row>
    <row r="27" spans="1:21" ht="15" customHeight="1">
      <c r="A27" s="174"/>
      <c r="B27" s="109" t="s">
        <v>64</v>
      </c>
      <c r="C27" s="110"/>
      <c r="D27" s="175" t="str">
        <f>+D4</f>
        <v>Septiembre 2014</v>
      </c>
      <c r="E27" s="175" t="str">
        <f>+E16</f>
        <v>Septiembre 2013</v>
      </c>
      <c r="F27" s="176" t="str">
        <f>+E4</f>
        <v>Diciembre 2013</v>
      </c>
      <c r="G27" s="338"/>
      <c r="I27" s="249" t="s">
        <v>26</v>
      </c>
      <c r="J27" s="249" t="s">
        <v>7</v>
      </c>
      <c r="K27" s="254">
        <f>-D24</f>
        <v>18259400</v>
      </c>
      <c r="L27" s="251"/>
      <c r="M27" s="254">
        <f>-F24</f>
        <v>29333029</v>
      </c>
      <c r="N27" s="251"/>
      <c r="O27" s="252"/>
      <c r="P27" s="253"/>
      <c r="Q27" s="252"/>
      <c r="R27" s="168"/>
      <c r="S27" s="140"/>
      <c r="U27" s="168"/>
    </row>
    <row r="28" spans="1:21" ht="15" customHeight="1">
      <c r="B28" s="124" t="s">
        <v>49</v>
      </c>
      <c r="C28" s="125" t="s">
        <v>5</v>
      </c>
      <c r="D28" s="177">
        <f>+Flujo!F23</f>
        <v>160708475</v>
      </c>
      <c r="E28" s="177">
        <f>+Flujo!G23</f>
        <v>151883427</v>
      </c>
      <c r="F28" s="178">
        <f>+[2]cálculos!D28</f>
        <v>202592537</v>
      </c>
      <c r="G28" s="172"/>
      <c r="I28" s="249" t="s">
        <v>27</v>
      </c>
      <c r="J28" s="249" t="s">
        <v>7</v>
      </c>
      <c r="K28" s="254">
        <f>-D21</f>
        <v>23527839</v>
      </c>
      <c r="L28" s="251"/>
      <c r="M28" s="254">
        <f>-F21</f>
        <v>28886895</v>
      </c>
      <c r="N28" s="251"/>
      <c r="O28" s="255"/>
      <c r="P28" s="253"/>
      <c r="Q28" s="255"/>
      <c r="R28" s="105"/>
      <c r="S28" s="140"/>
      <c r="U28" s="105"/>
    </row>
    <row r="29" spans="1:21" ht="15" customHeight="1">
      <c r="A29" s="179"/>
      <c r="B29" s="124" t="s">
        <v>50</v>
      </c>
      <c r="C29" s="125" t="s">
        <v>5</v>
      </c>
      <c r="D29" s="177">
        <f>+Flujo!F49</f>
        <v>-60921921</v>
      </c>
      <c r="E29" s="177">
        <f>+Flujo!G49</f>
        <v>-86962964</v>
      </c>
      <c r="F29" s="178">
        <f>+[2]cálculos!D29</f>
        <v>-119029257</v>
      </c>
      <c r="G29" s="172"/>
      <c r="I29" s="249" t="s">
        <v>60</v>
      </c>
      <c r="J29" s="249" t="s">
        <v>7</v>
      </c>
      <c r="K29" s="254">
        <f>-D25</f>
        <v>49188782</v>
      </c>
      <c r="L29" s="251"/>
      <c r="M29" s="254">
        <f>-F25</f>
        <v>64721070</v>
      </c>
      <c r="N29" s="251"/>
      <c r="O29" s="252"/>
      <c r="P29" s="253"/>
      <c r="Q29" s="252"/>
      <c r="S29" s="140"/>
    </row>
    <row r="30" spans="1:21" ht="15" customHeight="1">
      <c r="A30" s="180"/>
      <c r="B30" s="124" t="s">
        <v>51</v>
      </c>
      <c r="C30" s="125" t="s">
        <v>5</v>
      </c>
      <c r="D30" s="177">
        <f>+Flujo!F67</f>
        <v>-127041278</v>
      </c>
      <c r="E30" s="177">
        <f>+Flujo!G67</f>
        <v>-69954359</v>
      </c>
      <c r="F30" s="178">
        <f>+[2]cálculos!D30</f>
        <v>-80470747</v>
      </c>
      <c r="G30" s="172"/>
      <c r="I30" s="249" t="s">
        <v>61</v>
      </c>
      <c r="J30" s="249" t="s">
        <v>7</v>
      </c>
      <c r="K30" s="254">
        <f>-C66</f>
        <v>-43288248</v>
      </c>
      <c r="L30" s="256"/>
      <c r="M30" s="254">
        <f>-E66</f>
        <v>-61251947</v>
      </c>
      <c r="N30" s="256"/>
      <c r="O30" s="252"/>
      <c r="P30" s="253"/>
      <c r="Q30" s="252"/>
      <c r="R30" s="181"/>
      <c r="S30" s="140"/>
      <c r="U30" s="181"/>
    </row>
    <row r="31" spans="1:21" ht="15" customHeight="1">
      <c r="A31" s="180"/>
      <c r="B31" s="118" t="s">
        <v>25</v>
      </c>
      <c r="C31" s="125" t="s">
        <v>5</v>
      </c>
      <c r="D31" s="182">
        <f>SUM(D28:D30)</f>
        <v>-27254724</v>
      </c>
      <c r="E31" s="182">
        <f>SUM(E28:E30)</f>
        <v>-5033896</v>
      </c>
      <c r="F31" s="183">
        <f>+[2]cálculos!D31</f>
        <v>3092533</v>
      </c>
      <c r="G31" s="339"/>
      <c r="I31" s="249" t="s">
        <v>30</v>
      </c>
      <c r="J31" s="249" t="s">
        <v>7</v>
      </c>
      <c r="K31" s="254">
        <v>0</v>
      </c>
      <c r="L31" s="251"/>
      <c r="M31" s="254">
        <v>0</v>
      </c>
      <c r="N31" s="251"/>
      <c r="O31" s="252"/>
      <c r="P31" s="253"/>
      <c r="Q31" s="252"/>
      <c r="S31" s="140"/>
    </row>
    <row r="32" spans="1:21" ht="15" customHeight="1">
      <c r="A32" s="180"/>
      <c r="B32" s="124" t="s">
        <v>28</v>
      </c>
      <c r="C32" s="125" t="s">
        <v>5</v>
      </c>
      <c r="D32" s="177">
        <f>+Flujo!F75</f>
        <v>40299181</v>
      </c>
      <c r="E32" s="177">
        <f>+Flujo!G75</f>
        <v>37206648</v>
      </c>
      <c r="F32" s="178">
        <f>+[2]cálculos!D32</f>
        <v>37206648</v>
      </c>
      <c r="G32" s="172"/>
      <c r="I32" s="257" t="s">
        <v>21</v>
      </c>
      <c r="J32" s="249"/>
      <c r="K32" s="258">
        <f>SUM(K26:K31)</f>
        <v>87701179</v>
      </c>
      <c r="L32" s="251"/>
      <c r="M32" s="258">
        <f>SUM(M26:M31)</f>
        <v>119336900</v>
      </c>
      <c r="N32" s="259">
        <f>ROUND((K32/M32)-1,4)</f>
        <v>-0.2651</v>
      </c>
      <c r="O32" s="255"/>
      <c r="P32" s="260"/>
      <c r="Q32" s="249"/>
      <c r="S32" s="140"/>
    </row>
    <row r="33" spans="1:21" ht="15" customHeight="1" thickBot="1">
      <c r="B33" s="144" t="s">
        <v>29</v>
      </c>
      <c r="C33" s="185" t="s">
        <v>5</v>
      </c>
      <c r="D33" s="186">
        <f>+D32+D31</f>
        <v>13044457</v>
      </c>
      <c r="E33" s="186">
        <f>+E32+E31</f>
        <v>32172752</v>
      </c>
      <c r="F33" s="187">
        <f>+F32+F31</f>
        <v>40299181</v>
      </c>
      <c r="G33" s="340"/>
      <c r="I33" s="257"/>
      <c r="J33" s="249"/>
      <c r="K33" s="250"/>
      <c r="L33" s="251"/>
      <c r="M33" s="250"/>
      <c r="N33" s="251"/>
      <c r="O33" s="255"/>
      <c r="P33" s="253"/>
      <c r="Q33" s="249"/>
      <c r="R33" s="188"/>
      <c r="S33" s="140"/>
      <c r="U33" s="188"/>
    </row>
    <row r="34" spans="1:21" ht="15" customHeight="1" thickBot="1">
      <c r="I34" s="257"/>
      <c r="J34" s="249"/>
      <c r="K34" s="250"/>
      <c r="L34" s="261"/>
      <c r="M34" s="250"/>
      <c r="N34" s="261"/>
      <c r="O34" s="255"/>
      <c r="P34" s="260"/>
      <c r="Q34" s="262"/>
      <c r="R34" s="105"/>
      <c r="S34" s="140"/>
      <c r="U34" s="105"/>
    </row>
    <row r="35" spans="1:21" ht="15" customHeight="1">
      <c r="B35" s="190" t="s">
        <v>80</v>
      </c>
      <c r="C35" s="191" t="s">
        <v>262</v>
      </c>
      <c r="D35" s="192">
        <f>+E13</f>
        <v>580912084</v>
      </c>
      <c r="E35" s="140"/>
      <c r="F35" s="140"/>
      <c r="G35" s="140"/>
      <c r="I35" s="257" t="s">
        <v>55</v>
      </c>
      <c r="J35" s="249"/>
      <c r="K35" s="250">
        <f>+D18</f>
        <v>317524894</v>
      </c>
      <c r="L35" s="251"/>
      <c r="M35" s="250">
        <f>+E18</f>
        <v>291201763</v>
      </c>
      <c r="N35" s="251"/>
      <c r="O35" s="255"/>
      <c r="P35" s="249"/>
      <c r="Q35" s="262">
        <f>ROUND((K35/M35)-1,4)</f>
        <v>9.0399999999999994E-2</v>
      </c>
      <c r="S35" s="140"/>
    </row>
    <row r="36" spans="1:21" ht="15" customHeight="1" thickBot="1">
      <c r="B36" s="193" t="s">
        <v>80</v>
      </c>
      <c r="C36" s="194" t="s">
        <v>237</v>
      </c>
      <c r="D36" s="195">
        <f>+[2]cálculos!$D$35</f>
        <v>583787641</v>
      </c>
      <c r="E36" s="140"/>
      <c r="F36" s="140"/>
      <c r="G36" s="140"/>
      <c r="I36" s="5"/>
      <c r="K36" s="184"/>
      <c r="L36" s="105"/>
      <c r="M36" s="184"/>
      <c r="N36" s="105"/>
      <c r="O36" s="161"/>
      <c r="Q36" s="161"/>
      <c r="S36" s="140"/>
    </row>
    <row r="37" spans="1:21" ht="15" customHeight="1" thickBot="1">
      <c r="B37" s="193" t="s">
        <v>80</v>
      </c>
      <c r="C37" s="194" t="s">
        <v>279</v>
      </c>
      <c r="D37" s="195">
        <f>+G13</f>
        <v>581888610</v>
      </c>
      <c r="E37" s="140"/>
      <c r="F37" s="140"/>
      <c r="G37" s="140"/>
      <c r="I37" s="121" t="s">
        <v>31</v>
      </c>
      <c r="K37" s="122"/>
      <c r="L37" s="105"/>
      <c r="M37" s="122"/>
      <c r="N37" s="105"/>
      <c r="O37" s="107"/>
      <c r="Q37" s="161"/>
      <c r="R37" s="168"/>
      <c r="S37" s="168" t="s">
        <v>1</v>
      </c>
      <c r="U37" s="168"/>
    </row>
    <row r="38" spans="1:21" ht="15" customHeight="1">
      <c r="B38" s="193" t="s">
        <v>0</v>
      </c>
      <c r="C38" s="194" t="s">
        <v>237</v>
      </c>
      <c r="D38" s="196">
        <f>+[2]cálculos!$D$39</f>
        <v>1819287669</v>
      </c>
      <c r="E38" s="140"/>
      <c r="F38" s="140"/>
      <c r="G38" s="140"/>
      <c r="I38" s="5" t="s">
        <v>32</v>
      </c>
      <c r="K38" s="122"/>
      <c r="L38" s="105"/>
      <c r="M38" s="122"/>
      <c r="N38" s="105"/>
      <c r="O38" s="107"/>
      <c r="P38" s="197"/>
      <c r="Q38" s="7"/>
      <c r="S38" s="140"/>
    </row>
    <row r="39" spans="1:21" ht="15" customHeight="1" thickBot="1">
      <c r="B39" s="198" t="s">
        <v>0</v>
      </c>
      <c r="C39" s="199" t="s">
        <v>279</v>
      </c>
      <c r="D39" s="200">
        <f>+G8</f>
        <v>1817765882</v>
      </c>
      <c r="I39" s="9" t="s">
        <v>33</v>
      </c>
      <c r="J39" s="7" t="s">
        <v>7</v>
      </c>
      <c r="K39" s="130" t="e">
        <f>Anualizados!C6</f>
        <v>#REF!</v>
      </c>
      <c r="L39" s="148" t="e">
        <f>ROUND(K39/K40,4)*100</f>
        <v>#REF!</v>
      </c>
      <c r="M39" s="130" t="e">
        <f>+E68</f>
        <v>#REF!</v>
      </c>
      <c r="N39" s="148" t="e">
        <f>ROUND(M39/M40,4)*100</f>
        <v>#REF!</v>
      </c>
      <c r="O39" s="149"/>
      <c r="P39" s="133" t="e">
        <f>ROUND((L39/N39)-1,4)</f>
        <v>#REF!</v>
      </c>
      <c r="Q39" s="134" t="e">
        <f>ROUND((K39/M39)-1,3)</f>
        <v>#REF!</v>
      </c>
      <c r="R39" s="122" t="e">
        <f>+K39-M39</f>
        <v>#REF!</v>
      </c>
      <c r="S39" s="133"/>
    </row>
    <row r="40" spans="1:21" ht="15" customHeight="1" thickBot="1">
      <c r="I40" s="7" t="s">
        <v>81</v>
      </c>
      <c r="J40" s="7" t="s">
        <v>1</v>
      </c>
      <c r="K40" s="122">
        <f>ROUND((D37+D13)/2,0)</f>
        <v>580569164</v>
      </c>
      <c r="L40" s="105"/>
      <c r="M40" s="122">
        <f>ROUND((D35+D36)/2,0)</f>
        <v>582349863</v>
      </c>
      <c r="N40" s="105"/>
      <c r="O40" s="107"/>
      <c r="P40" s="133"/>
      <c r="Q40" s="134">
        <f>ROUND((K40/M40)-1,3)</f>
        <v>-3.0000000000000001E-3</v>
      </c>
      <c r="R40" s="122">
        <f>+K40-M40</f>
        <v>-1780699</v>
      </c>
      <c r="S40" s="140"/>
    </row>
    <row r="41" spans="1:21" ht="15" customHeight="1">
      <c r="B41" s="201" t="s">
        <v>56</v>
      </c>
      <c r="C41" s="111" t="s">
        <v>287</v>
      </c>
      <c r="D41" s="112" t="s">
        <v>281</v>
      </c>
      <c r="I41" s="5" t="s">
        <v>34</v>
      </c>
      <c r="K41" s="122"/>
      <c r="L41" s="105"/>
      <c r="M41" s="122"/>
      <c r="N41" s="105"/>
      <c r="O41" s="107"/>
      <c r="P41" s="197"/>
      <c r="Q41" s="202"/>
      <c r="R41" s="133"/>
      <c r="S41" s="140"/>
    </row>
    <row r="42" spans="1:21" ht="15" customHeight="1">
      <c r="B42" s="124"/>
      <c r="C42" s="203"/>
      <c r="D42" s="204"/>
      <c r="I42" s="9" t="s">
        <v>33</v>
      </c>
      <c r="J42" s="7" t="s">
        <v>7</v>
      </c>
      <c r="K42" s="165" t="e">
        <f>+K39</f>
        <v>#REF!</v>
      </c>
      <c r="L42" s="148" t="e">
        <f>ROUND(K42/K43,4)*100</f>
        <v>#REF!</v>
      </c>
      <c r="M42" s="165" t="e">
        <f>+M39</f>
        <v>#REF!</v>
      </c>
      <c r="N42" s="148" t="e">
        <f>ROUND(M42/M43,4)*100</f>
        <v>#REF!</v>
      </c>
      <c r="O42" s="149"/>
      <c r="P42" s="133" t="e">
        <f>ROUND((L42/N42)-1,4)</f>
        <v>#REF!</v>
      </c>
      <c r="Q42" s="134" t="e">
        <f>ROUND((K42/M42)-1,3)</f>
        <v>#REF!</v>
      </c>
      <c r="R42" s="122" t="e">
        <f>+K42-M42</f>
        <v>#REF!</v>
      </c>
    </row>
    <row r="43" spans="1:21" ht="15" customHeight="1">
      <c r="A43" s="7">
        <v>22</v>
      </c>
      <c r="B43" s="124" t="s">
        <v>288</v>
      </c>
      <c r="C43" s="119">
        <v>39.109900000000003</v>
      </c>
      <c r="D43" s="120"/>
      <c r="I43" s="7" t="s">
        <v>35</v>
      </c>
      <c r="J43" s="7" t="s">
        <v>1</v>
      </c>
      <c r="K43" s="205">
        <f>ROUND((+D8+D39)/2,0)</f>
        <v>1822183125</v>
      </c>
      <c r="L43" s="105"/>
      <c r="M43" s="205">
        <f>ROUND((E8+D38)/2,0)</f>
        <v>1835021726</v>
      </c>
      <c r="N43" s="105"/>
      <c r="O43" s="206"/>
      <c r="P43" s="133"/>
      <c r="Q43" s="134">
        <f>ROUND((K43/M43)-1,3)</f>
        <v>-7.0000000000000001E-3</v>
      </c>
      <c r="R43" s="122">
        <f>+K43-M43</f>
        <v>-12838601</v>
      </c>
    </row>
    <row r="44" spans="1:21" ht="15" customHeight="1">
      <c r="A44" s="7">
        <v>21</v>
      </c>
      <c r="B44" s="124" t="s">
        <v>240</v>
      </c>
      <c r="C44" s="203">
        <v>18.5379</v>
      </c>
      <c r="D44" s="204">
        <v>18.5379</v>
      </c>
      <c r="I44" s="5" t="s">
        <v>36</v>
      </c>
      <c r="K44" s="122"/>
      <c r="L44" s="105"/>
      <c r="M44" s="122"/>
      <c r="N44" s="105"/>
      <c r="O44" s="107"/>
      <c r="Q44" s="207"/>
    </row>
    <row r="45" spans="1:21" ht="15" customHeight="1">
      <c r="A45" s="7">
        <v>20</v>
      </c>
      <c r="B45" s="124" t="s">
        <v>239</v>
      </c>
      <c r="C45" s="119"/>
      <c r="D45" s="120">
        <v>42.2149</v>
      </c>
      <c r="I45" s="9" t="s">
        <v>37</v>
      </c>
      <c r="J45" s="7" t="s">
        <v>7</v>
      </c>
      <c r="K45" s="130" t="e">
        <f>+K42*1000</f>
        <v>#REF!</v>
      </c>
      <c r="L45" s="131" t="e">
        <f>ROUND(K45/K46,2)</f>
        <v>#REF!</v>
      </c>
      <c r="M45" s="130" t="e">
        <f>+M39*1000</f>
        <v>#REF!</v>
      </c>
      <c r="N45" s="131" t="e">
        <f>ROUND(M45/M46,2)</f>
        <v>#REF!</v>
      </c>
      <c r="O45" s="208"/>
      <c r="P45" s="133" t="e">
        <f>ROUND((L45/N45)-1,4)</f>
        <v>#REF!</v>
      </c>
      <c r="Q45" s="134" t="e">
        <f>ROUND((K45/M45)-1,3)</f>
        <v>#REF!</v>
      </c>
    </row>
    <row r="46" spans="1:21" ht="15" customHeight="1" thickBot="1">
      <c r="B46" s="209"/>
      <c r="C46" s="210">
        <f>SUM(C42:C45)</f>
        <v>57.647800000000004</v>
      </c>
      <c r="D46" s="211">
        <f>SUM(D42:D45)</f>
        <v>60.752800000000001</v>
      </c>
      <c r="E46" s="212"/>
      <c r="I46" s="7" t="s">
        <v>38</v>
      </c>
      <c r="K46" s="122">
        <v>1000000000</v>
      </c>
      <c r="L46" s="105"/>
      <c r="M46" s="122">
        <v>1000000000</v>
      </c>
      <c r="N46" s="105"/>
      <c r="O46" s="107"/>
      <c r="Q46" s="134">
        <f>ROUND((K46/M46)-1,3)</f>
        <v>0</v>
      </c>
    </row>
    <row r="47" spans="1:21" ht="15" customHeight="1">
      <c r="E47" s="213"/>
      <c r="K47" s="122"/>
      <c r="L47" s="105"/>
      <c r="M47" s="214" t="s">
        <v>1</v>
      </c>
      <c r="N47" s="105"/>
      <c r="O47" s="107"/>
      <c r="P47" s="197"/>
    </row>
    <row r="48" spans="1:21" ht="15" customHeight="1" thickBot="1">
      <c r="C48" s="213"/>
      <c r="D48" s="213"/>
      <c r="E48" s="213"/>
      <c r="I48" s="5" t="s">
        <v>39</v>
      </c>
      <c r="K48" s="122"/>
      <c r="L48" s="105"/>
      <c r="M48" s="214"/>
      <c r="N48" s="105"/>
      <c r="O48" s="107"/>
      <c r="P48" s="197"/>
    </row>
    <row r="49" spans="2:17" ht="15" customHeight="1">
      <c r="B49" s="109" t="s">
        <v>243</v>
      </c>
      <c r="C49" s="220" t="str">
        <f>+D16</f>
        <v>Septiembre 2014</v>
      </c>
      <c r="D49" s="220" t="str">
        <f>+E16</f>
        <v>Septiembre 2013</v>
      </c>
      <c r="E49" s="221" t="str">
        <f>+F16</f>
        <v>Diciembre 2013</v>
      </c>
      <c r="I49" s="9" t="s">
        <v>40</v>
      </c>
      <c r="J49" s="7" t="s">
        <v>7</v>
      </c>
      <c r="K49" s="215">
        <f>+C46</f>
        <v>57.647800000000004</v>
      </c>
      <c r="L49" s="148">
        <f>ROUND(K49/K50,4)*100</f>
        <v>6.3100000000000005</v>
      </c>
      <c r="M49" s="216">
        <f>+D46</f>
        <v>60.752800000000001</v>
      </c>
      <c r="N49" s="148">
        <f>ROUND(M49/M50,4)*100</f>
        <v>6.81</v>
      </c>
      <c r="O49" s="188"/>
      <c r="P49" s="133">
        <f>ROUND((L49/N49)-1,4)</f>
        <v>-7.3400000000000007E-2</v>
      </c>
      <c r="Q49" s="134">
        <f>ROUND((K49/M49)-1,3)</f>
        <v>-5.0999999999999997E-2</v>
      </c>
    </row>
    <row r="50" spans="2:17" ht="15" customHeight="1">
      <c r="B50" s="124" t="s">
        <v>90</v>
      </c>
      <c r="C50" s="222">
        <f>+Resultado!D7</f>
        <v>317524894</v>
      </c>
      <c r="D50" s="222">
        <f>+Resultado!E7</f>
        <v>291201763</v>
      </c>
      <c r="E50" s="223">
        <f>+[2]cálculos!C50</f>
        <v>402791320</v>
      </c>
      <c r="F50" s="224">
        <f>+C50-D50</f>
        <v>26323131</v>
      </c>
      <c r="G50" s="224"/>
      <c r="I50" s="7" t="s">
        <v>41</v>
      </c>
      <c r="K50" s="167">
        <f>+'valor acción'!H49</f>
        <v>913.71</v>
      </c>
      <c r="L50" s="167" t="s">
        <v>1</v>
      </c>
      <c r="M50" s="167">
        <v>892.25</v>
      </c>
      <c r="N50" s="167" t="s">
        <v>1</v>
      </c>
      <c r="O50" s="217"/>
      <c r="P50" s="133"/>
      <c r="Q50" s="134">
        <f>ROUND((K50/M50)-1,3)</f>
        <v>2.4E-2</v>
      </c>
    </row>
    <row r="51" spans="2:17" ht="15" customHeight="1">
      <c r="B51" s="124" t="s">
        <v>91</v>
      </c>
      <c r="C51" s="222">
        <f>+Resultado!D8</f>
        <v>-21571948</v>
      </c>
      <c r="D51" s="222">
        <f>+Resultado!E8</f>
        <v>-20492305</v>
      </c>
      <c r="E51" s="223">
        <f>+[2]cálculos!C51</f>
        <v>-27416534</v>
      </c>
      <c r="F51" s="224">
        <f t="shared" ref="F51:F68" si="0">+C51-D51</f>
        <v>-1079643</v>
      </c>
      <c r="G51" s="224"/>
      <c r="M51" s="7"/>
      <c r="N51" s="7"/>
      <c r="O51" s="7"/>
      <c r="Q51" s="207"/>
    </row>
    <row r="52" spans="2:17" ht="15" customHeight="1">
      <c r="B52" s="124" t="s">
        <v>82</v>
      </c>
      <c r="C52" s="222">
        <f>+Resultado!D9</f>
        <v>-33580101</v>
      </c>
      <c r="D52" s="222">
        <f>+Resultado!E9</f>
        <v>-29598227</v>
      </c>
      <c r="E52" s="223">
        <f>+[2]cálculos!C52</f>
        <v>-40811406</v>
      </c>
      <c r="F52" s="224">
        <f t="shared" si="0"/>
        <v>-3981874</v>
      </c>
      <c r="G52" s="224"/>
      <c r="K52" s="213"/>
      <c r="M52" s="7"/>
      <c r="N52" s="218"/>
      <c r="O52" s="7"/>
    </row>
    <row r="53" spans="2:17" ht="15" customHeight="1">
      <c r="B53" s="124" t="s">
        <v>83</v>
      </c>
      <c r="C53" s="222">
        <f>+Resultado!D10</f>
        <v>-49188782</v>
      </c>
      <c r="D53" s="222">
        <f>+Resultado!E10</f>
        <v>-48758589</v>
      </c>
      <c r="E53" s="223">
        <f>+[2]cálculos!C53</f>
        <v>-64721070</v>
      </c>
      <c r="F53" s="224">
        <f t="shared" si="0"/>
        <v>-430193</v>
      </c>
      <c r="G53" s="224"/>
      <c r="K53" s="213"/>
      <c r="M53" s="7"/>
      <c r="N53" s="7"/>
      <c r="O53" s="7"/>
    </row>
    <row r="54" spans="2:17" ht="15" customHeight="1">
      <c r="B54" s="124" t="s">
        <v>92</v>
      </c>
      <c r="C54" s="222">
        <v>0</v>
      </c>
      <c r="D54" s="222">
        <v>0</v>
      </c>
      <c r="E54" s="223">
        <f>+[2]cálculos!C54</f>
        <v>0</v>
      </c>
      <c r="F54" s="224">
        <f t="shared" si="0"/>
        <v>0</v>
      </c>
      <c r="G54" s="224"/>
      <c r="M54" s="7"/>
      <c r="N54" s="7"/>
      <c r="O54" s="7"/>
      <c r="Q54" s="219"/>
    </row>
    <row r="55" spans="2:17" ht="15" customHeight="1">
      <c r="B55" s="124" t="s">
        <v>93</v>
      </c>
      <c r="C55" s="222">
        <f>+Resultado!D11</f>
        <v>-70278957</v>
      </c>
      <c r="D55" s="222">
        <f>+Resultado!E11</f>
        <v>-66877546</v>
      </c>
      <c r="E55" s="223">
        <f>+[2]cálculos!C55</f>
        <v>-88149562</v>
      </c>
      <c r="F55" s="224">
        <f t="shared" si="0"/>
        <v>-3401411</v>
      </c>
      <c r="G55" s="224"/>
      <c r="M55" s="7"/>
      <c r="N55" s="7"/>
      <c r="O55" s="7"/>
    </row>
    <row r="56" spans="2:17" ht="15" customHeight="1">
      <c r="B56" s="118" t="s">
        <v>67</v>
      </c>
      <c r="C56" s="235">
        <f>SUM(C50:C55)</f>
        <v>142905106</v>
      </c>
      <c r="D56" s="235">
        <f>SUM(D50:D55)</f>
        <v>125475096</v>
      </c>
      <c r="E56" s="235">
        <f>SUM(E50:E55)</f>
        <v>181692748</v>
      </c>
      <c r="F56" s="224">
        <f t="shared" si="0"/>
        <v>17430010</v>
      </c>
      <c r="G56" s="224"/>
      <c r="I56" s="225"/>
      <c r="J56" s="226"/>
      <c r="K56" s="227"/>
      <c r="L56" s="228"/>
      <c r="M56" s="227"/>
      <c r="N56" s="228"/>
      <c r="O56" s="107"/>
      <c r="P56" s="128"/>
      <c r="Q56" s="229"/>
    </row>
    <row r="57" spans="2:17" ht="15" customHeight="1">
      <c r="B57" s="124" t="s">
        <v>68</v>
      </c>
      <c r="C57" s="222">
        <f>+Resultado!D13</f>
        <v>4120160</v>
      </c>
      <c r="D57" s="222">
        <f>+Resultado!E13</f>
        <v>5816707</v>
      </c>
      <c r="E57" s="223">
        <f>+[2]cálculos!C57</f>
        <v>7056285</v>
      </c>
      <c r="F57" s="224">
        <f t="shared" si="0"/>
        <v>-1696547</v>
      </c>
      <c r="G57" s="224"/>
      <c r="I57" s="225"/>
      <c r="J57" s="226"/>
      <c r="K57" s="227"/>
      <c r="L57" s="228"/>
      <c r="M57" s="227"/>
      <c r="N57" s="228"/>
      <c r="O57" s="107"/>
      <c r="P57" s="151"/>
      <c r="Q57" s="106"/>
    </row>
    <row r="58" spans="2:17" ht="15" customHeight="1">
      <c r="B58" s="124" t="s">
        <v>69</v>
      </c>
      <c r="C58" s="222">
        <f>+Resultado!D14</f>
        <v>-23527839</v>
      </c>
      <c r="D58" s="222">
        <f>+Resultado!E14</f>
        <v>-21900066</v>
      </c>
      <c r="E58" s="223">
        <f>+[2]cálculos!C58</f>
        <v>-28886895</v>
      </c>
      <c r="F58" s="224">
        <f t="shared" si="0"/>
        <v>-1627773</v>
      </c>
      <c r="G58" s="224"/>
      <c r="I58" s="226"/>
      <c r="J58" s="226"/>
      <c r="K58" s="227"/>
      <c r="L58" s="230"/>
      <c r="M58" s="227"/>
      <c r="N58" s="230"/>
      <c r="O58" s="188"/>
      <c r="P58" s="231"/>
      <c r="Q58" s="189"/>
    </row>
    <row r="59" spans="2:17" ht="15" customHeight="1">
      <c r="B59" s="124" t="s">
        <v>70</v>
      </c>
      <c r="C59" s="222">
        <f>+Resultado!D15</f>
        <v>-26078</v>
      </c>
      <c r="D59" s="222">
        <f>+Resultado!E15</f>
        <v>-4359</v>
      </c>
      <c r="E59" s="223">
        <f>+[2]cálculos!C59</f>
        <v>-1529</v>
      </c>
      <c r="F59" s="224">
        <f t="shared" si="0"/>
        <v>-21719</v>
      </c>
      <c r="G59" s="224"/>
      <c r="I59" s="226"/>
      <c r="J59" s="226"/>
      <c r="K59" s="228"/>
      <c r="L59" s="232"/>
      <c r="M59" s="228"/>
      <c r="N59" s="232"/>
      <c r="O59" s="107"/>
      <c r="P59" s="151"/>
      <c r="Q59" s="189"/>
    </row>
    <row r="60" spans="2:17" ht="15" customHeight="1">
      <c r="B60" s="124" t="s">
        <v>71</v>
      </c>
      <c r="C60" s="222">
        <f>+Resultado!D16</f>
        <v>-22815643</v>
      </c>
      <c r="D60" s="222">
        <f>+Resultado!E16</f>
        <v>-7068215</v>
      </c>
      <c r="E60" s="223">
        <f>+[2]cálculos!C60</f>
        <v>-12954456</v>
      </c>
      <c r="F60" s="224">
        <f t="shared" si="0"/>
        <v>-15747428</v>
      </c>
      <c r="G60" s="224"/>
      <c r="I60" s="225"/>
      <c r="J60" s="226"/>
      <c r="K60" s="227"/>
      <c r="L60" s="228"/>
      <c r="M60" s="227"/>
      <c r="N60" s="228"/>
      <c r="O60" s="107"/>
      <c r="P60" s="151"/>
      <c r="Q60" s="106"/>
    </row>
    <row r="61" spans="2:17" ht="15" customHeight="1">
      <c r="B61" s="118" t="s">
        <v>72</v>
      </c>
      <c r="C61" s="235">
        <f>SUM(C57:C60)</f>
        <v>-42249400</v>
      </c>
      <c r="D61" s="235">
        <f>SUM(D57:D60)</f>
        <v>-23155933</v>
      </c>
      <c r="E61" s="235">
        <f>SUM(E57:E60)</f>
        <v>-34786595</v>
      </c>
      <c r="F61" s="224">
        <f t="shared" si="0"/>
        <v>-19093467</v>
      </c>
      <c r="G61" s="224"/>
      <c r="I61" s="226"/>
      <c r="J61" s="233"/>
      <c r="K61" s="228"/>
      <c r="L61" s="230"/>
      <c r="M61" s="228"/>
      <c r="N61" s="230"/>
      <c r="O61" s="234"/>
      <c r="P61" s="231"/>
      <c r="Q61" s="189"/>
    </row>
    <row r="62" spans="2:17" ht="15" customHeight="1">
      <c r="B62" s="124" t="s">
        <v>78</v>
      </c>
      <c r="C62" s="222">
        <f>+Resultado!D12</f>
        <v>905348</v>
      </c>
      <c r="D62" s="222">
        <f>+Resultado!E12</f>
        <v>1314198</v>
      </c>
      <c r="E62" s="223">
        <f>+[2]cálculos!C62</f>
        <v>1326676</v>
      </c>
      <c r="F62" s="224">
        <f t="shared" si="0"/>
        <v>-408850</v>
      </c>
      <c r="G62" s="224"/>
      <c r="I62" s="226"/>
      <c r="J62" s="226"/>
      <c r="K62" s="227"/>
      <c r="L62" s="232"/>
      <c r="M62" s="227"/>
      <c r="N62" s="232"/>
      <c r="O62" s="161"/>
      <c r="P62" s="151"/>
      <c r="Q62" s="189"/>
    </row>
    <row r="63" spans="2:17" ht="15" customHeight="1">
      <c r="B63" s="124" t="s">
        <v>73</v>
      </c>
      <c r="C63" s="222"/>
      <c r="D63" s="222"/>
      <c r="E63" s="223" t="e">
        <f>+[2]cálculos!C63</f>
        <v>#REF!</v>
      </c>
      <c r="F63" s="224">
        <f t="shared" si="0"/>
        <v>0</v>
      </c>
      <c r="G63" s="224"/>
      <c r="I63" s="236"/>
      <c r="J63" s="102"/>
      <c r="K63" s="237"/>
      <c r="L63" s="161"/>
      <c r="M63" s="237"/>
      <c r="N63" s="161"/>
      <c r="O63" s="107"/>
      <c r="P63" s="151"/>
      <c r="Q63" s="106"/>
    </row>
    <row r="64" spans="2:17" ht="15" customHeight="1">
      <c r="B64" s="118" t="s">
        <v>74</v>
      </c>
      <c r="C64" s="235">
        <f>+C56+C61+C62+C63</f>
        <v>101561054</v>
      </c>
      <c r="D64" s="235">
        <f>+D56+D61+D62+D63</f>
        <v>103633361</v>
      </c>
      <c r="E64" s="235" t="e">
        <f>+E56+E61+E62+E63</f>
        <v>#REF!</v>
      </c>
      <c r="F64" s="224">
        <f t="shared" si="0"/>
        <v>-2072307</v>
      </c>
      <c r="G64" s="224"/>
      <c r="M64" s="238"/>
      <c r="O64" s="107"/>
    </row>
    <row r="65" spans="2:15" ht="15" customHeight="1">
      <c r="B65" s="124" t="s">
        <v>75</v>
      </c>
      <c r="C65" s="222">
        <f>+Resultado!D18</f>
        <v>-18259400</v>
      </c>
      <c r="D65" s="222">
        <f>+Resultado!E18</f>
        <v>-20883357</v>
      </c>
      <c r="E65" s="223">
        <f>+[2]cálculos!C65</f>
        <v>-29333029</v>
      </c>
      <c r="F65" s="224">
        <f t="shared" si="0"/>
        <v>2623957</v>
      </c>
      <c r="G65" s="224"/>
      <c r="L65" s="239"/>
      <c r="N65" s="239"/>
    </row>
    <row r="66" spans="2:15" ht="15" customHeight="1">
      <c r="B66" s="124" t="s">
        <v>76</v>
      </c>
      <c r="C66" s="222">
        <f>+Resultado!D24</f>
        <v>43288248</v>
      </c>
      <c r="D66" s="222">
        <f>+Resultado!E24</f>
        <v>42663525</v>
      </c>
      <c r="E66" s="223">
        <f>+[2]cálculos!C66</f>
        <v>61251947</v>
      </c>
      <c r="F66" s="224">
        <f t="shared" si="0"/>
        <v>624723</v>
      </c>
      <c r="G66" s="224"/>
    </row>
    <row r="67" spans="2:15" ht="15" customHeight="1">
      <c r="B67" s="240" t="s">
        <v>79</v>
      </c>
      <c r="C67" s="241">
        <f>+C64+C65</f>
        <v>83301654</v>
      </c>
      <c r="D67" s="241">
        <f>+D64+D65</f>
        <v>82750004</v>
      </c>
      <c r="E67" s="241" t="e">
        <f>+E64+E65</f>
        <v>#REF!</v>
      </c>
      <c r="F67" s="224">
        <f t="shared" si="0"/>
        <v>551650</v>
      </c>
      <c r="G67" s="224"/>
    </row>
    <row r="68" spans="2:15" ht="15" customHeight="1" thickBot="1">
      <c r="B68" s="242" t="s">
        <v>77</v>
      </c>
      <c r="C68" s="243">
        <f>+C64+C65-C66</f>
        <v>40013406</v>
      </c>
      <c r="D68" s="243">
        <f>+D64+D65-D66</f>
        <v>40086479</v>
      </c>
      <c r="E68" s="243" t="e">
        <f>+E64+E65-E66</f>
        <v>#REF!</v>
      </c>
      <c r="F68" s="224">
        <f t="shared" si="0"/>
        <v>-73073</v>
      </c>
      <c r="G68" s="224"/>
    </row>
    <row r="69" spans="2:15" ht="15" customHeight="1">
      <c r="D69" s="224"/>
    </row>
    <row r="70" spans="2:15" ht="15" customHeight="1">
      <c r="D70" s="224"/>
    </row>
    <row r="71" spans="2:15" ht="15" customHeight="1">
      <c r="D71" s="224"/>
    </row>
    <row r="74" spans="2:15" ht="15" customHeight="1">
      <c r="O74" s="7"/>
    </row>
    <row r="75" spans="2:15" ht="15" customHeight="1">
      <c r="C75" s="224"/>
      <c r="M75" s="7"/>
      <c r="N75" s="7"/>
      <c r="O75" s="7"/>
    </row>
    <row r="76" spans="2:15" ht="15" customHeight="1">
      <c r="M76" s="7"/>
      <c r="N76" s="7"/>
      <c r="O76" s="7"/>
    </row>
    <row r="77" spans="2:15" ht="15" customHeight="1">
      <c r="M77" s="7"/>
      <c r="N77" s="7"/>
      <c r="O77" s="7"/>
    </row>
    <row r="78" spans="2:15" ht="15" customHeight="1">
      <c r="M78" s="7"/>
      <c r="N78" s="7"/>
      <c r="O78" s="7"/>
    </row>
    <row r="79" spans="2:15" ht="15" customHeight="1">
      <c r="M79" s="7"/>
      <c r="N79" s="7"/>
      <c r="O79" s="7"/>
    </row>
    <row r="80" spans="2:15" ht="15" customHeight="1">
      <c r="M80" s="7"/>
      <c r="N80" s="7"/>
      <c r="O80" s="7"/>
    </row>
    <row r="81" spans="13:15" ht="15" customHeight="1">
      <c r="M81" s="7"/>
      <c r="N81" s="7"/>
      <c r="O81" s="7"/>
    </row>
    <row r="82" spans="13:15" ht="15" customHeight="1">
      <c r="M82" s="7"/>
      <c r="N82" s="7"/>
      <c r="O82" s="7"/>
    </row>
    <row r="83" spans="13:15" ht="15" customHeight="1">
      <c r="M83" s="7"/>
      <c r="N83" s="7"/>
      <c r="O83" s="7"/>
    </row>
    <row r="84" spans="13:15" ht="15" customHeight="1">
      <c r="M84" s="7"/>
      <c r="N84" s="7"/>
      <c r="O84" s="7"/>
    </row>
    <row r="85" spans="13:15" ht="15" customHeight="1">
      <c r="M85" s="7"/>
      <c r="N85" s="7"/>
      <c r="O85" s="7"/>
    </row>
    <row r="86" spans="13:15" ht="15" customHeight="1">
      <c r="M86" s="7"/>
      <c r="N86" s="7"/>
      <c r="O86" s="7"/>
    </row>
    <row r="87" spans="13:15" ht="15" customHeight="1">
      <c r="M87" s="7"/>
      <c r="N87" s="7"/>
      <c r="O87" s="7"/>
    </row>
    <row r="88" spans="13:15" ht="15" customHeight="1">
      <c r="M88" s="7"/>
      <c r="N88" s="7"/>
      <c r="O88" s="7"/>
    </row>
    <row r="89" spans="13:15" ht="15" customHeight="1">
      <c r="M89" s="7"/>
      <c r="N89" s="7"/>
      <c r="O89" s="7"/>
    </row>
    <row r="90" spans="13:15" ht="15" customHeight="1">
      <c r="M90" s="7"/>
      <c r="N90" s="7"/>
      <c r="O90" s="7"/>
    </row>
    <row r="91" spans="13:15" ht="15" customHeight="1">
      <c r="M91" s="7"/>
      <c r="N91" s="7"/>
      <c r="O91" s="7"/>
    </row>
    <row r="92" spans="13:15" ht="15" customHeight="1">
      <c r="M92" s="7"/>
      <c r="N92" s="7"/>
      <c r="O92" s="7"/>
    </row>
    <row r="93" spans="13:15" ht="15" customHeight="1">
      <c r="M93" s="7"/>
      <c r="N93" s="7"/>
      <c r="O93" s="7"/>
    </row>
    <row r="94" spans="13:15" ht="15" customHeight="1">
      <c r="M94" s="7"/>
      <c r="N94" s="7"/>
      <c r="O94" s="7"/>
    </row>
    <row r="95" spans="13:15" ht="15" customHeight="1">
      <c r="M95" s="7"/>
      <c r="N95" s="7"/>
      <c r="O95" s="7"/>
    </row>
    <row r="96" spans="13:15" ht="15" customHeight="1">
      <c r="M96" s="7"/>
      <c r="N96" s="7"/>
      <c r="O96" s="7"/>
    </row>
    <row r="97" spans="11:15" ht="15" customHeight="1">
      <c r="M97" s="7"/>
      <c r="N97" s="7"/>
      <c r="O97" s="7"/>
    </row>
    <row r="98" spans="11:15" ht="15" customHeight="1">
      <c r="M98" s="7"/>
      <c r="N98" s="7"/>
      <c r="O98" s="7"/>
    </row>
    <row r="99" spans="11:15" ht="15" customHeight="1">
      <c r="K99" s="244"/>
      <c r="L99" s="245"/>
      <c r="N99" s="245"/>
      <c r="O99" s="244"/>
    </row>
    <row r="100" spans="11:15" ht="15" customHeight="1">
      <c r="K100" s="244"/>
      <c r="L100" s="245"/>
      <c r="N100" s="245"/>
      <c r="O100" s="244"/>
    </row>
    <row r="101" spans="11:15" ht="15" customHeight="1">
      <c r="K101" s="244"/>
      <c r="L101" s="245"/>
      <c r="N101" s="245"/>
      <c r="O101" s="244"/>
    </row>
    <row r="102" spans="11:15" ht="15" customHeight="1">
      <c r="K102" s="244"/>
      <c r="L102" s="245"/>
      <c r="N102" s="245"/>
      <c r="O102" s="244"/>
    </row>
    <row r="103" spans="11:15" ht="15" customHeight="1">
      <c r="K103" s="244"/>
      <c r="L103" s="245"/>
      <c r="N103" s="245"/>
      <c r="O103" s="244"/>
    </row>
    <row r="104" spans="11:15" ht="15" customHeight="1">
      <c r="K104" s="244"/>
      <c r="L104" s="245"/>
      <c r="N104" s="245"/>
      <c r="O104" s="244"/>
    </row>
    <row r="105" spans="11:15" ht="15" customHeight="1">
      <c r="K105" s="244"/>
      <c r="L105" s="245"/>
      <c r="M105" s="245"/>
      <c r="N105" s="245"/>
      <c r="O105" s="244"/>
    </row>
    <row r="106" spans="11:15" ht="15" customHeight="1">
      <c r="K106" s="244"/>
      <c r="L106" s="245"/>
      <c r="M106" s="245"/>
      <c r="N106" s="245"/>
      <c r="O106" s="244"/>
    </row>
    <row r="107" spans="11:15" ht="15" customHeight="1">
      <c r="K107" s="244"/>
      <c r="L107" s="245"/>
      <c r="M107" s="245"/>
      <c r="N107" s="245"/>
    </row>
    <row r="108" spans="11:15" ht="15" customHeight="1">
      <c r="K108" s="244"/>
      <c r="L108" s="245"/>
      <c r="M108" s="245"/>
      <c r="N108" s="245"/>
    </row>
    <row r="109" spans="11:15" ht="15" customHeight="1">
      <c r="K109" s="244"/>
      <c r="L109" s="245"/>
      <c r="M109" s="245"/>
      <c r="N109" s="245"/>
    </row>
    <row r="110" spans="11:15" ht="15" customHeight="1">
      <c r="K110" s="244"/>
      <c r="L110" s="245"/>
      <c r="M110" s="245"/>
      <c r="N110" s="245"/>
    </row>
    <row r="111" spans="11:15" ht="15" customHeight="1">
      <c r="K111" s="244"/>
      <c r="L111" s="245"/>
      <c r="M111" s="245"/>
      <c r="N111" s="245"/>
    </row>
    <row r="112" spans="11:15" ht="15" customHeight="1">
      <c r="K112" s="244"/>
      <c r="L112" s="245"/>
      <c r="M112" s="245"/>
      <c r="N112" s="245"/>
    </row>
    <row r="113" spans="11:14" ht="15" customHeight="1">
      <c r="K113" s="244"/>
      <c r="L113" s="245"/>
      <c r="M113" s="245"/>
      <c r="N113" s="245"/>
    </row>
    <row r="114" spans="11:14" ht="15" customHeight="1">
      <c r="K114" s="244"/>
      <c r="L114" s="245"/>
      <c r="M114" s="245"/>
      <c r="N114" s="245"/>
    </row>
    <row r="115" spans="11:14" ht="15" customHeight="1">
      <c r="K115" s="244"/>
      <c r="L115" s="245"/>
      <c r="M115" s="245"/>
      <c r="N115" s="245"/>
    </row>
    <row r="116" spans="11:14" ht="15" customHeight="1">
      <c r="K116" s="244"/>
      <c r="L116" s="245"/>
      <c r="M116" s="245"/>
      <c r="N116" s="245"/>
    </row>
    <row r="117" spans="11:14" ht="15" customHeight="1">
      <c r="K117" s="244"/>
      <c r="L117" s="245"/>
      <c r="M117" s="245"/>
      <c r="N117" s="245"/>
    </row>
    <row r="118" spans="11:14" ht="15" customHeight="1">
      <c r="K118" s="244"/>
      <c r="L118" s="245"/>
      <c r="M118" s="245"/>
      <c r="N118" s="245"/>
    </row>
    <row r="119" spans="11:14" ht="15" customHeight="1">
      <c r="K119" s="244"/>
      <c r="L119" s="245"/>
      <c r="M119" s="245"/>
      <c r="N119" s="245"/>
    </row>
    <row r="120" spans="11:14" ht="15" customHeight="1">
      <c r="K120" s="244"/>
      <c r="L120" s="245"/>
      <c r="M120" s="245"/>
      <c r="N120" s="245"/>
    </row>
    <row r="121" spans="11:14" ht="15" customHeight="1">
      <c r="K121" s="244"/>
      <c r="L121" s="245"/>
      <c r="N121" s="245"/>
    </row>
    <row r="122" spans="11:14" ht="15" customHeight="1">
      <c r="K122" s="244"/>
      <c r="L122" s="245"/>
      <c r="M122" s="245"/>
      <c r="N122" s="245"/>
    </row>
    <row r="123" spans="11:14" ht="15" customHeight="1">
      <c r="K123" s="244"/>
      <c r="L123" s="245"/>
      <c r="M123" s="245"/>
      <c r="N123" s="245"/>
    </row>
    <row r="124" spans="11:14" ht="15" customHeight="1">
      <c r="K124" s="244"/>
      <c r="L124" s="245"/>
      <c r="M124" s="245"/>
      <c r="N124" s="245"/>
    </row>
    <row r="125" spans="11:14" ht="15" customHeight="1">
      <c r="K125" s="244"/>
      <c r="L125" s="245"/>
      <c r="M125" s="245"/>
      <c r="N125" s="245"/>
    </row>
    <row r="126" spans="11:14" ht="15" customHeight="1">
      <c r="K126" s="244"/>
      <c r="L126" s="245"/>
      <c r="M126" s="245"/>
      <c r="N126" s="245"/>
    </row>
    <row r="127" spans="11:14" ht="15" customHeight="1">
      <c r="K127" s="244"/>
      <c r="L127" s="245"/>
      <c r="M127" s="245"/>
      <c r="N127" s="245"/>
    </row>
    <row r="128" spans="11:14" ht="15" customHeight="1">
      <c r="K128" s="244"/>
      <c r="L128" s="245"/>
      <c r="M128" s="245"/>
      <c r="N128" s="245"/>
    </row>
    <row r="129" spans="11:14" ht="15" customHeight="1">
      <c r="K129" s="244"/>
      <c r="L129" s="245"/>
      <c r="N129" s="245"/>
    </row>
    <row r="130" spans="11:14" ht="15" customHeight="1">
      <c r="K130" s="244"/>
      <c r="L130" s="245"/>
      <c r="N130" s="245"/>
    </row>
    <row r="131" spans="11:14" ht="15" customHeight="1">
      <c r="K131" s="244"/>
      <c r="L131" s="245"/>
      <c r="N131" s="245"/>
    </row>
    <row r="132" spans="11:14" ht="15" customHeight="1">
      <c r="K132" s="244"/>
      <c r="L132" s="245"/>
      <c r="N132" s="245"/>
    </row>
    <row r="133" spans="11:14" ht="15" customHeight="1">
      <c r="K133" s="244"/>
      <c r="L133" s="245"/>
      <c r="N133" s="245"/>
    </row>
    <row r="134" spans="11:14" ht="15" customHeight="1">
      <c r="K134" s="244"/>
      <c r="L134" s="245"/>
      <c r="N134" s="245"/>
    </row>
    <row r="135" spans="11:14" ht="15" customHeight="1">
      <c r="K135" s="244"/>
      <c r="L135" s="245"/>
      <c r="N135" s="245"/>
    </row>
    <row r="136" spans="11:14" ht="15" customHeight="1">
      <c r="K136" s="244"/>
      <c r="L136" s="245"/>
      <c r="N136" s="245"/>
    </row>
    <row r="137" spans="11:14" ht="15" customHeight="1">
      <c r="K137" s="244"/>
      <c r="L137" s="245"/>
      <c r="N137" s="245"/>
    </row>
    <row r="138" spans="11:14" ht="15" customHeight="1">
      <c r="K138" s="244"/>
      <c r="L138" s="245"/>
      <c r="N138" s="245"/>
    </row>
    <row r="139" spans="11:14" ht="15" customHeight="1">
      <c r="K139" s="244"/>
      <c r="L139" s="245"/>
      <c r="N139" s="245"/>
    </row>
    <row r="140" spans="11:14" ht="15" customHeight="1">
      <c r="K140" s="244"/>
      <c r="L140" s="245"/>
      <c r="N140" s="245"/>
    </row>
    <row r="141" spans="11:14" ht="15" customHeight="1">
      <c r="K141" s="244"/>
      <c r="L141" s="245"/>
      <c r="N141" s="245"/>
    </row>
    <row r="142" spans="11:14" ht="15" customHeight="1">
      <c r="K142" s="244"/>
      <c r="L142" s="245"/>
      <c r="N142" s="245"/>
    </row>
    <row r="143" spans="11:14" ht="15" customHeight="1">
      <c r="K143" s="244"/>
      <c r="L143" s="245"/>
      <c r="N143" s="245"/>
    </row>
    <row r="144" spans="11:14" ht="15" customHeight="1">
      <c r="K144" s="244"/>
      <c r="L144" s="245"/>
      <c r="N144" s="245"/>
    </row>
    <row r="145" spans="11:14" ht="15" customHeight="1">
      <c r="K145" s="244"/>
      <c r="L145" s="245"/>
      <c r="N145" s="245"/>
    </row>
    <row r="146" spans="11:14" ht="15" customHeight="1">
      <c r="K146" s="244"/>
      <c r="L146" s="245"/>
      <c r="N146" s="245"/>
    </row>
    <row r="147" spans="11:14" ht="15" customHeight="1">
      <c r="K147" s="133"/>
      <c r="L147" s="245"/>
      <c r="N147" s="245"/>
    </row>
    <row r="148" spans="11:14" ht="15" customHeight="1">
      <c r="K148" s="244"/>
      <c r="L148" s="245"/>
      <c r="N148" s="245"/>
    </row>
    <row r="149" spans="11:14" ht="15" customHeight="1">
      <c r="K149" s="244"/>
      <c r="L149" s="245"/>
      <c r="N149" s="245"/>
    </row>
    <row r="150" spans="11:14" ht="15" customHeight="1">
      <c r="K150" s="244"/>
      <c r="L150" s="245"/>
      <c r="N150" s="245"/>
    </row>
    <row r="151" spans="11:14" ht="15" customHeight="1">
      <c r="K151" s="244"/>
      <c r="L151" s="245"/>
      <c r="N151" s="245"/>
    </row>
    <row r="152" spans="11:14" ht="15" customHeight="1">
      <c r="K152" s="244"/>
      <c r="L152" s="245"/>
      <c r="M152" s="197"/>
      <c r="N152" s="245"/>
    </row>
    <row r="153" spans="11:14" ht="15" customHeight="1">
      <c r="K153" s="244"/>
      <c r="L153" s="245"/>
      <c r="M153" s="197"/>
      <c r="N153" s="245"/>
    </row>
    <row r="154" spans="11:14" ht="15" customHeight="1">
      <c r="K154" s="244"/>
      <c r="L154" s="245"/>
      <c r="M154" s="197"/>
      <c r="N154" s="245"/>
    </row>
    <row r="155" spans="11:14" ht="15" customHeight="1">
      <c r="K155" s="244"/>
      <c r="L155" s="245"/>
      <c r="M155" s="197"/>
      <c r="N155" s="245"/>
    </row>
    <row r="156" spans="11:14" ht="15" customHeight="1">
      <c r="K156" s="244"/>
      <c r="L156" s="245"/>
      <c r="M156" s="197"/>
      <c r="N156" s="245"/>
    </row>
    <row r="157" spans="11:14" ht="15" customHeight="1">
      <c r="K157" s="244"/>
      <c r="L157" s="245"/>
      <c r="M157" s="197"/>
      <c r="N157" s="245"/>
    </row>
    <row r="158" spans="11:14" ht="15" customHeight="1">
      <c r="K158" s="244"/>
      <c r="L158" s="245"/>
      <c r="M158" s="197"/>
      <c r="N158" s="245"/>
    </row>
    <row r="159" spans="11:14" ht="15" customHeight="1">
      <c r="K159" s="244"/>
      <c r="L159" s="245"/>
      <c r="M159" s="197"/>
      <c r="N159" s="245"/>
    </row>
    <row r="160" spans="11:14" ht="15" customHeight="1">
      <c r="M160" s="197"/>
    </row>
    <row r="161" spans="13:13" ht="15" customHeight="1">
      <c r="M161" s="197"/>
    </row>
    <row r="162" spans="13:13" ht="15" customHeight="1">
      <c r="M162" s="197"/>
    </row>
    <row r="163" spans="13:13" ht="15" customHeight="1">
      <c r="M163" s="197"/>
    </row>
    <row r="164" spans="13:13" ht="15" customHeight="1">
      <c r="M164" s="197"/>
    </row>
    <row r="183" spans="11:14" ht="15" customHeight="1">
      <c r="M183" s="246"/>
    </row>
    <row r="185" spans="11:14" ht="15" customHeight="1">
      <c r="K185" s="244"/>
      <c r="L185" s="245"/>
      <c r="M185" s="245"/>
      <c r="N185" s="244"/>
    </row>
    <row r="186" spans="11:14" ht="15" customHeight="1">
      <c r="K186" s="244"/>
      <c r="L186" s="245"/>
      <c r="M186" s="245"/>
      <c r="N186" s="244"/>
    </row>
    <row r="187" spans="11:14" ht="15" customHeight="1">
      <c r="K187" s="244"/>
      <c r="L187" s="245"/>
      <c r="M187" s="245"/>
      <c r="N187" s="244"/>
    </row>
    <row r="188" spans="11:14" ht="15" customHeight="1">
      <c r="K188" s="244"/>
      <c r="L188" s="245"/>
      <c r="M188" s="245"/>
      <c r="N188" s="244"/>
    </row>
    <row r="189" spans="11:14" ht="15" customHeight="1">
      <c r="K189" s="244"/>
      <c r="L189" s="245"/>
      <c r="M189" s="245"/>
      <c r="N189" s="244"/>
    </row>
    <row r="190" spans="11:14" ht="15" customHeight="1">
      <c r="K190" s="244"/>
      <c r="L190" s="245"/>
      <c r="M190" s="245"/>
      <c r="N190" s="244"/>
    </row>
    <row r="191" spans="11:14" ht="15" customHeight="1">
      <c r="K191" s="244"/>
      <c r="L191" s="245"/>
      <c r="M191" s="245"/>
      <c r="N191" s="244"/>
    </row>
    <row r="192" spans="11:14" ht="15" customHeight="1">
      <c r="K192" s="244"/>
      <c r="L192" s="245"/>
      <c r="M192" s="245"/>
      <c r="N192" s="244"/>
    </row>
    <row r="193" spans="11:14" ht="15" customHeight="1">
      <c r="K193" s="244"/>
      <c r="L193" s="245"/>
      <c r="M193" s="245"/>
      <c r="N193" s="244"/>
    </row>
    <row r="194" spans="11:14" ht="15" customHeight="1">
      <c r="K194" s="244"/>
      <c r="L194" s="245"/>
      <c r="M194" s="245"/>
      <c r="N194" s="244"/>
    </row>
    <row r="195" spans="11:14" ht="15" customHeight="1">
      <c r="K195" s="244"/>
      <c r="L195" s="245"/>
      <c r="N195" s="244"/>
    </row>
    <row r="196" spans="11:14" ht="15" customHeight="1">
      <c r="K196" s="244"/>
      <c r="L196" s="245"/>
      <c r="N196" s="244"/>
    </row>
    <row r="197" spans="11:14" ht="15" customHeight="1">
      <c r="K197" s="244"/>
      <c r="L197" s="245"/>
      <c r="N197" s="244"/>
    </row>
    <row r="198" spans="11:14" ht="15" customHeight="1">
      <c r="K198" s="244"/>
      <c r="L198" s="245"/>
      <c r="N198" s="244"/>
    </row>
    <row r="199" spans="11:14" ht="15" customHeight="1">
      <c r="K199" s="244"/>
      <c r="L199" s="245"/>
      <c r="N199" s="244"/>
    </row>
    <row r="200" spans="11:14" ht="15" customHeight="1">
      <c r="K200" s="244"/>
      <c r="L200" s="245"/>
      <c r="N200" s="244"/>
    </row>
    <row r="201" spans="11:14" ht="15" customHeight="1">
      <c r="K201" s="244"/>
      <c r="L201" s="245"/>
      <c r="N201" s="244"/>
    </row>
    <row r="202" spans="11:14" ht="15" customHeight="1">
      <c r="K202" s="244"/>
      <c r="L202" s="245"/>
      <c r="N202" s="244"/>
    </row>
    <row r="203" spans="11:14" ht="15" customHeight="1">
      <c r="K203" s="244"/>
      <c r="L203" s="245"/>
      <c r="N203" s="244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2:F76"/>
  <sheetViews>
    <sheetView showGridLines="0" topLeftCell="A28" workbookViewId="0">
      <selection activeCell="F41" sqref="F41"/>
    </sheetView>
  </sheetViews>
  <sheetFormatPr baseColWidth="10" defaultRowHeight="12.75"/>
  <cols>
    <col min="1" max="1" width="10.42578125" style="13" bestFit="1" customWidth="1"/>
    <col min="2" max="2" width="68.7109375" style="14" customWidth="1"/>
    <col min="3" max="3" width="7.7109375" style="14" customWidth="1"/>
    <col min="4" max="5" width="14.42578125" style="14" customWidth="1"/>
    <col min="6" max="16384" width="11.42578125" style="13"/>
  </cols>
  <sheetData>
    <row r="2" spans="1:6" ht="21.75" customHeight="1"/>
    <row r="3" spans="1:6" ht="13.5" thickBot="1"/>
    <row r="4" spans="1:6">
      <c r="A4" s="15"/>
      <c r="B4" s="383" t="s">
        <v>102</v>
      </c>
      <c r="C4" s="385" t="s">
        <v>103</v>
      </c>
      <c r="D4" s="40">
        <v>41729</v>
      </c>
      <c r="E4" s="40">
        <v>41639</v>
      </c>
    </row>
    <row r="5" spans="1:6" ht="13.5" thickBot="1">
      <c r="B5" s="384"/>
      <c r="C5" s="386"/>
      <c r="D5" s="41" t="s">
        <v>5</v>
      </c>
      <c r="E5" s="41" t="s">
        <v>5</v>
      </c>
      <c r="F5" s="13" t="s">
        <v>66</v>
      </c>
    </row>
    <row r="6" spans="1:6">
      <c r="B6" s="43"/>
      <c r="C6" s="45"/>
      <c r="D6" s="64"/>
      <c r="E6" s="64"/>
    </row>
    <row r="7" spans="1:6" ht="13.5" customHeight="1" thickBot="1">
      <c r="B7" s="43" t="s">
        <v>104</v>
      </c>
      <c r="C7" s="45"/>
      <c r="D7" s="64"/>
      <c r="E7" s="64"/>
    </row>
    <row r="8" spans="1:6" ht="13.5" thickBot="1">
      <c r="B8" s="47" t="s">
        <v>105</v>
      </c>
      <c r="C8" s="65">
        <v>7</v>
      </c>
      <c r="D8" s="49">
        <f>+[3]Activo!D6</f>
        <v>13044457</v>
      </c>
      <c r="E8" s="49">
        <f>+[3]Activo!E6</f>
        <v>40299181</v>
      </c>
      <c r="F8" s="14">
        <f>+(D8-E8)/1000</f>
        <v>-27254.723999999998</v>
      </c>
    </row>
    <row r="9" spans="1:6" ht="13.5" customHeight="1" thickBot="1">
      <c r="B9" s="47" t="s">
        <v>106</v>
      </c>
      <c r="C9" s="48">
        <v>9</v>
      </c>
      <c r="D9" s="49"/>
      <c r="E9" s="49"/>
      <c r="F9" s="14">
        <f t="shared" ref="F9:F72" si="0">+(D9-E9)/1000</f>
        <v>0</v>
      </c>
    </row>
    <row r="10" spans="1:6" ht="13.5" thickBot="1">
      <c r="B10" s="47" t="s">
        <v>107</v>
      </c>
      <c r="C10" s="48"/>
      <c r="D10" s="49">
        <f>+[3]Activo!D7</f>
        <v>1456103</v>
      </c>
      <c r="E10" s="49">
        <f>+[3]Activo!E7</f>
        <v>232245</v>
      </c>
      <c r="F10" s="14">
        <f t="shared" si="0"/>
        <v>1223.8579999999999</v>
      </c>
    </row>
    <row r="11" spans="1:6" ht="13.5" thickBot="1">
      <c r="B11" s="47" t="s">
        <v>108</v>
      </c>
      <c r="C11" s="48">
        <v>8</v>
      </c>
      <c r="D11" s="49">
        <f>+[3]Activo!D8</f>
        <v>80805748</v>
      </c>
      <c r="E11" s="49">
        <f>+[3]Activo!E8</f>
        <v>87959258</v>
      </c>
      <c r="F11" s="14">
        <f t="shared" si="0"/>
        <v>-7153.51</v>
      </c>
    </row>
    <row r="12" spans="1:6" ht="15" customHeight="1" thickBot="1">
      <c r="B12" s="47" t="s">
        <v>109</v>
      </c>
      <c r="C12" s="48">
        <v>9</v>
      </c>
      <c r="D12" s="49">
        <f>+[3]Activo!D9</f>
        <v>85684</v>
      </c>
      <c r="E12" s="49">
        <f>+[3]Activo!E9</f>
        <v>38941</v>
      </c>
      <c r="F12" s="14">
        <f t="shared" si="0"/>
        <v>46.743000000000002</v>
      </c>
    </row>
    <row r="13" spans="1:6" ht="15" customHeight="1" thickBot="1">
      <c r="B13" s="47" t="s">
        <v>110</v>
      </c>
      <c r="C13" s="48">
        <v>10</v>
      </c>
      <c r="D13" s="49">
        <f>+[3]Activo!D10</f>
        <v>4016497</v>
      </c>
      <c r="E13" s="49">
        <f>+[3]Activo!E10</f>
        <v>3608089</v>
      </c>
      <c r="F13" s="14">
        <f t="shared" si="0"/>
        <v>408.40800000000002</v>
      </c>
    </row>
    <row r="14" spans="1:6" ht="15" customHeight="1" thickBot="1">
      <c r="B14" s="47" t="s">
        <v>111</v>
      </c>
      <c r="C14" s="48"/>
      <c r="D14" s="49">
        <f>+[3]Activo!D11</f>
        <v>1231329</v>
      </c>
      <c r="E14" s="49">
        <f>+[3]Activo!E11</f>
        <v>2485107</v>
      </c>
      <c r="F14" s="14">
        <f t="shared" si="0"/>
        <v>-1253.778</v>
      </c>
    </row>
    <row r="15" spans="1:6" ht="36.75" customHeight="1" thickBot="1">
      <c r="B15" s="50" t="s">
        <v>112</v>
      </c>
      <c r="C15" s="51"/>
      <c r="D15" s="52">
        <f>SUM(D8:D14)</f>
        <v>100639818</v>
      </c>
      <c r="E15" s="52">
        <f>SUM(E8:E14)</f>
        <v>134622821</v>
      </c>
      <c r="F15" s="14">
        <f t="shared" si="0"/>
        <v>-33983.002999999997</v>
      </c>
    </row>
    <row r="16" spans="1:6" ht="20.25" hidden="1" customHeight="1" thickBot="1">
      <c r="B16" s="53" t="s">
        <v>113</v>
      </c>
      <c r="C16" s="48"/>
      <c r="D16" s="49">
        <v>0</v>
      </c>
      <c r="E16" s="49">
        <v>0</v>
      </c>
      <c r="F16" s="14">
        <f t="shared" si="0"/>
        <v>0</v>
      </c>
    </row>
    <row r="17" spans="2:6" ht="18" hidden="1" customHeight="1" thickBot="1">
      <c r="B17" s="53" t="s">
        <v>114</v>
      </c>
      <c r="C17" s="48"/>
      <c r="D17" s="49">
        <v>0</v>
      </c>
      <c r="E17" s="49">
        <v>0</v>
      </c>
      <c r="F17" s="14">
        <f t="shared" si="0"/>
        <v>0</v>
      </c>
    </row>
    <row r="18" spans="2:6" ht="39" hidden="1" customHeight="1" thickBot="1">
      <c r="B18" s="50" t="s">
        <v>115</v>
      </c>
      <c r="C18" s="51"/>
      <c r="D18" s="52">
        <v>0</v>
      </c>
      <c r="E18" s="52">
        <v>0</v>
      </c>
      <c r="F18" s="14">
        <f t="shared" si="0"/>
        <v>0</v>
      </c>
    </row>
    <row r="19" spans="2:6" ht="15" customHeight="1" thickBot="1">
      <c r="B19" s="47"/>
      <c r="C19" s="48"/>
      <c r="D19" s="49"/>
      <c r="E19" s="49"/>
      <c r="F19" s="14">
        <f t="shared" si="0"/>
        <v>0</v>
      </c>
    </row>
    <row r="20" spans="2:6" ht="15" customHeight="1" thickBot="1">
      <c r="B20" s="66" t="s">
        <v>116</v>
      </c>
      <c r="C20" s="51"/>
      <c r="D20" s="67">
        <f>+D15</f>
        <v>100639818</v>
      </c>
      <c r="E20" s="67">
        <f>+E15</f>
        <v>134622821</v>
      </c>
      <c r="F20" s="14">
        <f t="shared" si="0"/>
        <v>-33983.002999999997</v>
      </c>
    </row>
    <row r="21" spans="2:6" ht="15" customHeight="1">
      <c r="B21" s="45"/>
      <c r="C21" s="44"/>
      <c r="D21" s="57"/>
      <c r="E21" s="57"/>
      <c r="F21" s="14">
        <f t="shared" si="0"/>
        <v>0</v>
      </c>
    </row>
    <row r="22" spans="2:6" ht="15" customHeight="1" thickBot="1">
      <c r="B22" s="43" t="s">
        <v>117</v>
      </c>
      <c r="C22" s="44"/>
      <c r="D22" s="57"/>
      <c r="E22" s="57"/>
      <c r="F22" s="14">
        <f t="shared" si="0"/>
        <v>0</v>
      </c>
    </row>
    <row r="23" spans="2:6" ht="15" hidden="1" customHeight="1" thickBot="1">
      <c r="B23" s="47" t="s">
        <v>118</v>
      </c>
      <c r="C23" s="48">
        <v>7</v>
      </c>
      <c r="D23" s="49"/>
      <c r="E23" s="49"/>
      <c r="F23" s="14">
        <f t="shared" si="0"/>
        <v>0</v>
      </c>
    </row>
    <row r="24" spans="2:6" ht="15" customHeight="1" thickBot="1">
      <c r="B24" s="47" t="s">
        <v>106</v>
      </c>
      <c r="C24" s="48">
        <v>8</v>
      </c>
      <c r="D24" s="49">
        <f>+[3]Activo!D20</f>
        <v>7413197</v>
      </c>
      <c r="E24" s="49">
        <f>+[3]Activo!E20</f>
        <v>7413197</v>
      </c>
      <c r="F24" s="14">
        <f t="shared" si="0"/>
        <v>0</v>
      </c>
    </row>
    <row r="25" spans="2:6" ht="15" customHeight="1" thickBot="1">
      <c r="B25" s="47" t="s">
        <v>119</v>
      </c>
      <c r="C25" s="48"/>
      <c r="D25" s="49">
        <f>+[3]Activo!D21</f>
        <v>679443</v>
      </c>
      <c r="E25" s="49">
        <f>+[3]Activo!E21</f>
        <v>420067</v>
      </c>
      <c r="F25" s="14">
        <f t="shared" si="0"/>
        <v>259.37599999999998</v>
      </c>
    </row>
    <row r="26" spans="2:6" ht="15" customHeight="1" thickBot="1">
      <c r="B26" s="47" t="s">
        <v>120</v>
      </c>
      <c r="C26" s="48">
        <v>8</v>
      </c>
      <c r="D26" s="49">
        <f>+[3]Activo!D22</f>
        <v>1539708</v>
      </c>
      <c r="E26" s="49">
        <f>+[3]Activo!E22</f>
        <v>1879762</v>
      </c>
      <c r="F26" s="14">
        <f t="shared" si="0"/>
        <v>-340.05399999999997</v>
      </c>
    </row>
    <row r="27" spans="2:6" ht="15" customHeight="1" thickBot="1">
      <c r="B27" s="47" t="s">
        <v>121</v>
      </c>
      <c r="C27" s="48">
        <v>11</v>
      </c>
      <c r="D27" s="49">
        <f>+[3]Activo!D23</f>
        <v>232219388</v>
      </c>
      <c r="E27" s="49">
        <f>+[3]Activo!E23</f>
        <v>227347269</v>
      </c>
      <c r="F27" s="14">
        <f t="shared" si="0"/>
        <v>4872.1189999999997</v>
      </c>
    </row>
    <row r="28" spans="2:6" ht="15" customHeight="1" thickBot="1">
      <c r="B28" s="47" t="s">
        <v>122</v>
      </c>
      <c r="C28" s="48">
        <v>12</v>
      </c>
      <c r="D28" s="49">
        <f>+[3]Activo!D24</f>
        <v>307581431</v>
      </c>
      <c r="E28" s="49">
        <f>+[3]Activo!E24</f>
        <v>307581431</v>
      </c>
      <c r="F28" s="14">
        <f t="shared" si="0"/>
        <v>0</v>
      </c>
    </row>
    <row r="29" spans="2:6" ht="15" customHeight="1" thickBot="1">
      <c r="B29" s="47" t="s">
        <v>123</v>
      </c>
      <c r="C29" s="48">
        <v>13</v>
      </c>
      <c r="D29" s="49">
        <f>+[3]Activo!D25</f>
        <v>1167865117</v>
      </c>
      <c r="E29" s="49">
        <f>+[3]Activo!E25</f>
        <v>1171228114</v>
      </c>
      <c r="F29" s="14">
        <f t="shared" si="0"/>
        <v>-3362.9969999999998</v>
      </c>
    </row>
    <row r="30" spans="2:6" ht="15" customHeight="1" thickBot="1">
      <c r="B30" s="47" t="s">
        <v>124</v>
      </c>
      <c r="C30" s="48">
        <v>23</v>
      </c>
      <c r="D30" s="49">
        <f>+[3]Activo!D26</f>
        <v>8662265</v>
      </c>
      <c r="E30" s="49">
        <f>+[3]Activo!E26</f>
        <v>263122</v>
      </c>
      <c r="F30" s="14">
        <f t="shared" si="0"/>
        <v>8399.143</v>
      </c>
    </row>
    <row r="31" spans="2:6" ht="15" customHeight="1" thickBot="1">
      <c r="B31" s="54" t="s">
        <v>125</v>
      </c>
      <c r="C31" s="51"/>
      <c r="D31" s="52">
        <f>SUM(D24:D30)</f>
        <v>1725960549</v>
      </c>
      <c r="E31" s="52">
        <f>SUM(E24:E30)</f>
        <v>1716132962</v>
      </c>
      <c r="F31" s="14">
        <f t="shared" si="0"/>
        <v>9827.5869999999995</v>
      </c>
    </row>
    <row r="32" spans="2:6" ht="15" customHeight="1" thickBot="1">
      <c r="B32" s="59"/>
      <c r="C32" s="68"/>
      <c r="D32" s="46"/>
      <c r="E32" s="46"/>
      <c r="F32" s="14">
        <f t="shared" si="0"/>
        <v>0</v>
      </c>
    </row>
    <row r="33" spans="1:6" ht="15" customHeight="1" thickBot="1">
      <c r="B33" s="54" t="s">
        <v>126</v>
      </c>
      <c r="C33" s="55"/>
      <c r="D33" s="52">
        <f>+D31+D20</f>
        <v>1826600367</v>
      </c>
      <c r="E33" s="52">
        <f>+E31+E20</f>
        <v>1850755783</v>
      </c>
      <c r="F33" s="14">
        <f t="shared" si="0"/>
        <v>-24155.416000000001</v>
      </c>
    </row>
    <row r="34" spans="1:6">
      <c r="B34" s="69"/>
      <c r="C34" s="70"/>
      <c r="D34" s="71"/>
      <c r="E34" s="71"/>
      <c r="F34" s="14">
        <f t="shared" si="0"/>
        <v>0</v>
      </c>
    </row>
    <row r="35" spans="1:6" ht="13.5" thickBot="1">
      <c r="B35" s="69"/>
      <c r="C35" s="70"/>
      <c r="D35" s="71"/>
      <c r="E35" s="71"/>
      <c r="F35" s="14">
        <f t="shared" si="0"/>
        <v>0</v>
      </c>
    </row>
    <row r="36" spans="1:6">
      <c r="A36" s="15"/>
      <c r="B36" s="383" t="s">
        <v>127</v>
      </c>
      <c r="C36" s="385" t="s">
        <v>103</v>
      </c>
      <c r="D36" s="40">
        <v>41729</v>
      </c>
      <c r="E36" s="40">
        <v>41639</v>
      </c>
      <c r="F36" s="14">
        <f t="shared" si="0"/>
        <v>0.09</v>
      </c>
    </row>
    <row r="37" spans="1:6" ht="13.5" thickBot="1">
      <c r="B37" s="384"/>
      <c r="C37" s="386"/>
      <c r="D37" s="41" t="s">
        <v>284</v>
      </c>
      <c r="E37" s="41" t="s">
        <v>5</v>
      </c>
      <c r="F37" s="14"/>
    </row>
    <row r="38" spans="1:6">
      <c r="B38" s="42"/>
      <c r="C38" s="43"/>
      <c r="D38" s="44"/>
      <c r="E38" s="44"/>
      <c r="F38" s="14">
        <f t="shared" si="0"/>
        <v>0</v>
      </c>
    </row>
    <row r="39" spans="1:6" ht="13.5" customHeight="1" thickBot="1">
      <c r="B39" s="43" t="s">
        <v>128</v>
      </c>
      <c r="C39" s="45"/>
      <c r="D39" s="46"/>
      <c r="E39" s="46"/>
      <c r="F39" s="14">
        <f t="shared" si="0"/>
        <v>0</v>
      </c>
    </row>
    <row r="40" spans="1:6" ht="13.5" thickBot="1">
      <c r="A40" s="34"/>
      <c r="B40" s="47" t="s">
        <v>129</v>
      </c>
      <c r="C40" s="48">
        <v>8</v>
      </c>
      <c r="D40" s="49">
        <f>+[3]Pasivo!D6</f>
        <v>51517986</v>
      </c>
      <c r="E40" s="49">
        <f>+[3]Pasivo!E6</f>
        <v>93620208</v>
      </c>
      <c r="F40" s="14">
        <f t="shared" si="0"/>
        <v>-42102.222000000002</v>
      </c>
    </row>
    <row r="41" spans="1:6" ht="13.5" thickBot="1">
      <c r="B41" s="47" t="s">
        <v>130</v>
      </c>
      <c r="C41" s="48">
        <v>8</v>
      </c>
      <c r="D41" s="49">
        <f>+[3]Pasivo!D7</f>
        <v>57282003</v>
      </c>
      <c r="E41" s="49">
        <f>+[3]Pasivo!E7</f>
        <v>98814724</v>
      </c>
      <c r="F41" s="14">
        <f t="shared" si="0"/>
        <v>-41532.720999999998</v>
      </c>
    </row>
    <row r="42" spans="1:6" ht="15" customHeight="1" thickBot="1">
      <c r="B42" s="47" t="s">
        <v>131</v>
      </c>
      <c r="C42" s="48">
        <v>9</v>
      </c>
      <c r="D42" s="49">
        <f>+[3]Pasivo!D8</f>
        <v>7892226</v>
      </c>
      <c r="E42" s="49">
        <f>+[3]Pasivo!E8</f>
        <v>21941594</v>
      </c>
      <c r="F42" s="14">
        <f t="shared" si="0"/>
        <v>-14049.368</v>
      </c>
    </row>
    <row r="43" spans="1:6" ht="15" customHeight="1" thickBot="1">
      <c r="B43" s="47" t="s">
        <v>132</v>
      </c>
      <c r="C43" s="48">
        <v>15</v>
      </c>
      <c r="D43" s="49">
        <f>+[3]Pasivo!D9</f>
        <v>537722</v>
      </c>
      <c r="E43" s="49">
        <f>+[3]Pasivo!E9</f>
        <v>918556</v>
      </c>
      <c r="F43" s="14">
        <f t="shared" si="0"/>
        <v>-380.834</v>
      </c>
    </row>
    <row r="44" spans="1:6" ht="15" customHeight="1" thickBot="1">
      <c r="B44" s="47" t="s">
        <v>133</v>
      </c>
      <c r="C44" s="48"/>
      <c r="D44" s="49">
        <f>+[3]Pasivo!D10</f>
        <v>419608</v>
      </c>
      <c r="E44" s="49">
        <f>+[3]Pasivo!E10</f>
        <v>88462</v>
      </c>
      <c r="F44" s="14">
        <f t="shared" si="0"/>
        <v>331.14600000000002</v>
      </c>
    </row>
    <row r="45" spans="1:6" ht="15" customHeight="1" thickBot="1">
      <c r="B45" s="47" t="s">
        <v>134</v>
      </c>
      <c r="C45" s="48">
        <v>19</v>
      </c>
      <c r="D45" s="49">
        <f>+[3]Pasivo!D11</f>
        <v>2883439</v>
      </c>
      <c r="E45" s="49">
        <f>+[3]Pasivo!E11</f>
        <v>4267442</v>
      </c>
      <c r="F45" s="14">
        <f t="shared" si="0"/>
        <v>-1384.0029999999999</v>
      </c>
    </row>
    <row r="46" spans="1:6" ht="15" customHeight="1" thickBot="1">
      <c r="B46" s="47" t="s">
        <v>135</v>
      </c>
      <c r="C46" s="48"/>
      <c r="D46" s="49">
        <f>+[3]Pasivo!D12</f>
        <v>847614</v>
      </c>
      <c r="E46" s="49">
        <f>+[3]Pasivo!E12</f>
        <v>1381524</v>
      </c>
      <c r="F46" s="14">
        <f t="shared" si="0"/>
        <v>-533.91</v>
      </c>
    </row>
    <row r="47" spans="1:6" ht="28.5" customHeight="1" thickBot="1">
      <c r="B47" s="50" t="s">
        <v>136</v>
      </c>
      <c r="C47" s="51"/>
      <c r="D47" s="52">
        <f>SUM(D40:D46)</f>
        <v>121380598</v>
      </c>
      <c r="E47" s="52">
        <f>SUM(E40:E46)</f>
        <v>221032510</v>
      </c>
      <c r="F47" s="14">
        <f t="shared" si="0"/>
        <v>-99651.911999999997</v>
      </c>
    </row>
    <row r="48" spans="1:6" ht="15" customHeight="1" thickBot="1">
      <c r="B48" s="47"/>
      <c r="C48" s="48"/>
      <c r="D48" s="49"/>
      <c r="E48" s="49"/>
      <c r="F48" s="14">
        <f t="shared" si="0"/>
        <v>0</v>
      </c>
    </row>
    <row r="49" spans="1:6" ht="18.75" hidden="1" customHeight="1" thickBot="1">
      <c r="B49" s="53" t="s">
        <v>137</v>
      </c>
      <c r="C49" s="48"/>
      <c r="D49" s="49">
        <v>0</v>
      </c>
      <c r="E49" s="49">
        <v>0</v>
      </c>
      <c r="F49" s="14">
        <f t="shared" si="0"/>
        <v>0</v>
      </c>
    </row>
    <row r="50" spans="1:6" ht="15" customHeight="1" thickBot="1">
      <c r="B50" s="54" t="s">
        <v>138</v>
      </c>
      <c r="C50" s="55"/>
      <c r="D50" s="52">
        <f>+D47+D49</f>
        <v>121380598</v>
      </c>
      <c r="E50" s="52">
        <f>+E47+E49</f>
        <v>221032510</v>
      </c>
      <c r="F50" s="14">
        <f t="shared" si="0"/>
        <v>-99651.911999999997</v>
      </c>
    </row>
    <row r="51" spans="1:6" ht="15" customHeight="1">
      <c r="B51" s="45"/>
      <c r="C51" s="56"/>
      <c r="D51" s="57"/>
      <c r="E51" s="57"/>
      <c r="F51" s="14">
        <f t="shared" si="0"/>
        <v>0</v>
      </c>
    </row>
    <row r="52" spans="1:6" ht="15" customHeight="1" thickBot="1">
      <c r="B52" s="43" t="s">
        <v>139</v>
      </c>
      <c r="C52" s="45"/>
      <c r="D52" s="46"/>
      <c r="E52" s="46"/>
      <c r="F52" s="14">
        <f t="shared" si="0"/>
        <v>0</v>
      </c>
    </row>
    <row r="53" spans="1:6" ht="15" customHeight="1" thickBot="1">
      <c r="A53" s="34"/>
      <c r="B53" s="47" t="s">
        <v>129</v>
      </c>
      <c r="C53" s="48">
        <v>8</v>
      </c>
      <c r="D53" s="49">
        <f>+[3]Pasivo!D17</f>
        <v>698715162</v>
      </c>
      <c r="E53" s="49">
        <f>+[3]Pasivo!E17</f>
        <v>626272073</v>
      </c>
      <c r="F53" s="14">
        <f t="shared" si="0"/>
        <v>72443.089000000007</v>
      </c>
    </row>
    <row r="54" spans="1:6" ht="15" customHeight="1" thickBot="1">
      <c r="B54" s="47" t="s">
        <v>140</v>
      </c>
      <c r="C54" s="48">
        <v>15</v>
      </c>
      <c r="D54" s="49">
        <f>+[3]Pasivo!D18</f>
        <v>1743910</v>
      </c>
      <c r="E54" s="49">
        <f>+[3]Pasivo!E18</f>
        <v>1862609</v>
      </c>
      <c r="F54" s="14">
        <f t="shared" si="0"/>
        <v>-118.699</v>
      </c>
    </row>
    <row r="55" spans="1:6" ht="15" customHeight="1" thickBot="1">
      <c r="B55" s="47" t="s">
        <v>141</v>
      </c>
      <c r="C55" s="48">
        <v>23</v>
      </c>
      <c r="D55" s="49">
        <f>+[3]Pasivo!D19</f>
        <v>1163620</v>
      </c>
      <c r="E55" s="49">
        <f>+[3]Pasivo!E19</f>
        <v>1118746</v>
      </c>
      <c r="F55" s="14">
        <f t="shared" si="0"/>
        <v>44.874000000000002</v>
      </c>
    </row>
    <row r="56" spans="1:6" ht="15" customHeight="1" thickBot="1">
      <c r="B56" s="47" t="s">
        <v>142</v>
      </c>
      <c r="C56" s="48">
        <v>8</v>
      </c>
      <c r="D56" s="49">
        <f>+[3]Pasivo!D20</f>
        <v>43730911</v>
      </c>
      <c r="E56" s="49">
        <f>+[3]Pasivo!E20</f>
        <v>34360206</v>
      </c>
      <c r="F56" s="14">
        <f t="shared" si="0"/>
        <v>9370.7049999999999</v>
      </c>
    </row>
    <row r="57" spans="1:6" ht="15" customHeight="1" thickBot="1">
      <c r="B57" s="47" t="s">
        <v>143</v>
      </c>
      <c r="C57" s="48">
        <v>19</v>
      </c>
      <c r="D57" s="49">
        <f>+[3]Pasivo!D21</f>
        <v>10301823</v>
      </c>
      <c r="E57" s="49">
        <f>+[3]Pasivo!E21</f>
        <v>8542371</v>
      </c>
      <c r="F57" s="14">
        <f t="shared" si="0"/>
        <v>1759.452</v>
      </c>
    </row>
    <row r="58" spans="1:6" ht="15" customHeight="1" thickBot="1">
      <c r="B58" s="47" t="s">
        <v>135</v>
      </c>
      <c r="C58" s="48"/>
      <c r="D58" s="49">
        <f>+[3]Pasivo!D22</f>
        <v>7294709</v>
      </c>
      <c r="E58" s="49">
        <f>+[3]Pasivo!E22</f>
        <v>7888047</v>
      </c>
      <c r="F58" s="14">
        <f t="shared" si="0"/>
        <v>-593.33799999999997</v>
      </c>
    </row>
    <row r="59" spans="1:6" ht="15" customHeight="1" thickBot="1">
      <c r="B59" s="54" t="s">
        <v>144</v>
      </c>
      <c r="C59" s="55"/>
      <c r="D59" s="52">
        <f>SUM(D53:D58)</f>
        <v>762950135</v>
      </c>
      <c r="E59" s="52">
        <f>SUM(E53:E58)</f>
        <v>680044052</v>
      </c>
      <c r="F59" s="14">
        <f t="shared" si="0"/>
        <v>82906.082999999999</v>
      </c>
    </row>
    <row r="60" spans="1:6" ht="15" customHeight="1" thickBot="1">
      <c r="B60" s="58"/>
      <c r="C60" s="59"/>
      <c r="D60" s="46"/>
      <c r="E60" s="46"/>
      <c r="F60" s="14">
        <f t="shared" si="0"/>
        <v>0</v>
      </c>
    </row>
    <row r="61" spans="1:6" ht="15" customHeight="1" thickBot="1">
      <c r="B61" s="54" t="s">
        <v>145</v>
      </c>
      <c r="C61" s="55"/>
      <c r="D61" s="52">
        <f>+D59+D47</f>
        <v>884330733</v>
      </c>
      <c r="E61" s="52">
        <f>+E59+E47</f>
        <v>901076562</v>
      </c>
      <c r="F61" s="14">
        <f t="shared" si="0"/>
        <v>-16745.829000000002</v>
      </c>
    </row>
    <row r="62" spans="1:6" ht="15" customHeight="1">
      <c r="B62" s="43"/>
      <c r="C62" s="56"/>
      <c r="D62" s="57"/>
      <c r="E62" s="57"/>
      <c r="F62" s="14">
        <f t="shared" si="0"/>
        <v>0</v>
      </c>
    </row>
    <row r="63" spans="1:6" ht="15" customHeight="1" thickBot="1">
      <c r="B63" s="43" t="s">
        <v>146</v>
      </c>
      <c r="C63" s="45"/>
      <c r="D63" s="46"/>
      <c r="E63" s="46"/>
      <c r="F63" s="14">
        <f t="shared" si="0"/>
        <v>0</v>
      </c>
    </row>
    <row r="64" spans="1:6" ht="11.25" hidden="1" customHeight="1" thickBot="1">
      <c r="B64" s="387"/>
      <c r="C64" s="388"/>
      <c r="D64" s="388"/>
      <c r="E64" s="388"/>
      <c r="F64" s="14">
        <f t="shared" si="0"/>
        <v>0</v>
      </c>
    </row>
    <row r="65" spans="2:6" ht="13.5" thickBot="1">
      <c r="B65" s="47" t="s">
        <v>147</v>
      </c>
      <c r="C65" s="48"/>
      <c r="D65" s="49">
        <f>+[3]Pasivo!$D$27</f>
        <v>468358402</v>
      </c>
      <c r="E65" s="49">
        <f>+[3]Pasivo!$E$27</f>
        <v>468358402</v>
      </c>
      <c r="F65" s="14">
        <f t="shared" si="0"/>
        <v>0</v>
      </c>
    </row>
    <row r="66" spans="2:6" ht="13.5" thickBot="1">
      <c r="B66" s="47" t="s">
        <v>148</v>
      </c>
      <c r="C66" s="48"/>
      <c r="D66" s="49">
        <f>+[3]Pasivo!$D$28</f>
        <v>148159732</v>
      </c>
      <c r="E66" s="49">
        <f>+[3]Pasivo!$E$28</f>
        <v>149822099</v>
      </c>
      <c r="F66" s="14">
        <f t="shared" si="0"/>
        <v>-1662.367</v>
      </c>
    </row>
    <row r="67" spans="2:6" ht="13.5" hidden="1" customHeight="1" thickBot="1">
      <c r="B67" s="47" t="s">
        <v>149</v>
      </c>
      <c r="C67" s="48"/>
      <c r="D67" s="49"/>
      <c r="E67" s="49"/>
      <c r="F67" s="14">
        <f t="shared" si="0"/>
        <v>0</v>
      </c>
    </row>
    <row r="68" spans="2:6" ht="13.5" thickBot="1">
      <c r="B68" s="47" t="s">
        <v>149</v>
      </c>
      <c r="C68" s="48"/>
      <c r="D68" s="49"/>
      <c r="E68" s="49"/>
      <c r="F68" s="14">
        <f t="shared" si="0"/>
        <v>0</v>
      </c>
    </row>
    <row r="69" spans="2:6" ht="13.5" thickBot="1">
      <c r="B69" s="47" t="s">
        <v>150</v>
      </c>
      <c r="C69" s="48"/>
      <c r="D69" s="49">
        <f>+[3]Pasivo!$D$29</f>
        <v>-37268417</v>
      </c>
      <c r="E69" s="49">
        <f>+[3]Pasivo!$E$29</f>
        <v>-37268417</v>
      </c>
      <c r="F69" s="14">
        <f t="shared" si="0"/>
        <v>0</v>
      </c>
    </row>
    <row r="70" spans="2:6" ht="23.25" customHeight="1" thickBot="1">
      <c r="B70" s="60" t="s">
        <v>85</v>
      </c>
      <c r="C70" s="48"/>
      <c r="D70" s="61">
        <f>SUM(D65:D69)</f>
        <v>579249717</v>
      </c>
      <c r="E70" s="61">
        <f>SUM(E65:E69)</f>
        <v>580912084</v>
      </c>
      <c r="F70" s="14">
        <f t="shared" si="0"/>
        <v>-1662.367</v>
      </c>
    </row>
    <row r="71" spans="2:6" ht="15" customHeight="1" thickBot="1">
      <c r="B71" s="62" t="s">
        <v>86</v>
      </c>
      <c r="C71" s="48">
        <v>4</v>
      </c>
      <c r="D71" s="61">
        <f>+[3]Pasivo!$D$31</f>
        <v>363019917</v>
      </c>
      <c r="E71" s="61">
        <f>+[3]Pasivo!$E$31</f>
        <v>368767137</v>
      </c>
      <c r="F71" s="14">
        <f t="shared" si="0"/>
        <v>-5747.22</v>
      </c>
    </row>
    <row r="72" spans="2:6" ht="32.25" customHeight="1" thickBot="1">
      <c r="B72" s="54" t="s">
        <v>151</v>
      </c>
      <c r="C72" s="63"/>
      <c r="D72" s="52">
        <f>+D71+D70</f>
        <v>942269634</v>
      </c>
      <c r="E72" s="52">
        <f>+E70+E71</f>
        <v>949679221</v>
      </c>
      <c r="F72" s="14">
        <f t="shared" si="0"/>
        <v>-7409.5870000000004</v>
      </c>
    </row>
    <row r="73" spans="2:6" ht="15" customHeight="1" thickBot="1">
      <c r="B73" s="45"/>
      <c r="C73" s="56"/>
      <c r="D73" s="57"/>
      <c r="E73" s="57"/>
      <c r="F73" s="14">
        <f>+(D73-E73)/1000</f>
        <v>0</v>
      </c>
    </row>
    <row r="74" spans="2:6" ht="15" customHeight="1" thickBot="1">
      <c r="B74" s="54" t="s">
        <v>152</v>
      </c>
      <c r="C74" s="55"/>
      <c r="D74" s="52">
        <f>+D72+D61</f>
        <v>1826600367</v>
      </c>
      <c r="E74" s="52">
        <f>+E72+E61</f>
        <v>1850755783</v>
      </c>
      <c r="F74" s="14">
        <f>+(D74-E74)/1000</f>
        <v>-24155.416000000001</v>
      </c>
    </row>
    <row r="76" spans="2:6" ht="15" customHeight="1">
      <c r="D76" s="14">
        <f>+D74-D33</f>
        <v>0</v>
      </c>
      <c r="E76" s="14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Cuadro Ingresos </vt:lpstr>
      <vt:lpstr>Cuadro Bce</vt:lpstr>
      <vt:lpstr>Indicadores</vt:lpstr>
      <vt:lpstr>Fechas Indexaciones</vt:lpstr>
      <vt:lpstr>Cuadro Flujo</vt:lpstr>
      <vt:lpstr>Cuadro Finanzas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2011-04-19T13:35:12Z</cp:lastPrinted>
  <dcterms:created xsi:type="dcterms:W3CDTF">2009-05-16T00:13:33Z</dcterms:created>
  <dcterms:modified xsi:type="dcterms:W3CDTF">2015-03-06T16:45:24Z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IAMC SEPTIEMBRE 2014.xlsx</vt:lpwstr>
  </property>
</Properties>
</file>