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Sitio Web\Tablas\IAM\Análisis Razonado\Editados\"/>
    </mc:Choice>
  </mc:AlternateContent>
  <workbookProtection workbookPassword="C4C8" lockStructure="1"/>
  <bookViews>
    <workbookView xWindow="-15" yWindow="3975" windowWidth="15330" windowHeight="4200" tabRatio="904" firstSheet="1" activeTab="1"/>
  </bookViews>
  <sheets>
    <sheet name="BExRepositorySheet" sheetId="9" state="veryHidden" r:id="rId1"/>
    <sheet name="Cuadro Ingresos " sheetId="18" r:id="rId2"/>
    <sheet name="Cuadro Bce" sheetId="8" r:id="rId3"/>
    <sheet name="Indicadores" sheetId="15" r:id="rId4"/>
    <sheet name="Fechas Indexaciones" sheetId="19" state="hidden" r:id="rId5"/>
    <sheet name="Cuadro Flujo" sheetId="17" r:id="rId6"/>
    <sheet name="Cuadro Finanzas" sheetId="23" r:id="rId7"/>
    <sheet name="cálculos" sheetId="4" state="hidden" r:id="rId8"/>
    <sheet name="Balance" sheetId="11" state="hidden" r:id="rId9"/>
    <sheet name="Resultado" sheetId="12" state="hidden" r:id="rId10"/>
    <sheet name="Flujo" sheetId="13" state="hidden" r:id="rId11"/>
    <sheet name="Anualizados" sheetId="10" state="hidden" r:id="rId12"/>
    <sheet name="valor acción" sheetId="14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7">cálculos!$I$4:$M$50</definedName>
    <definedName name="_xlnm.Print_Area" localSheetId="2">'Cuadro Bce'!#REF!</definedName>
    <definedName name="_xlnm.Print_Area" localSheetId="5">'Cuadro Flujo'!#REF!</definedName>
    <definedName name="_xlnm.Print_Area" localSheetId="1">'Cuadro Ingresos '!#REF!</definedName>
    <definedName name="_xlnm.Print_Area" localSheetId="3">Indicadores!#REF!</definedName>
  </definedNames>
  <calcPr calcId="152511"/>
</workbook>
</file>

<file path=xl/calcChain.xml><?xml version="1.0" encoding="utf-8"?>
<calcChain xmlns="http://schemas.openxmlformats.org/spreadsheetml/2006/main">
  <c r="P22" i="12" l="1"/>
  <c r="P18" i="12"/>
  <c r="L26" i="12"/>
  <c r="K26" i="12"/>
  <c r="L20" i="12"/>
  <c r="K20" i="12"/>
  <c r="O11" i="12" l="1"/>
  <c r="N11" i="12"/>
  <c r="P11" i="12" s="1"/>
  <c r="L29" i="12"/>
  <c r="L30" i="12" s="1"/>
  <c r="K29" i="12"/>
  <c r="K30" i="12" s="1"/>
  <c r="L19" i="12"/>
  <c r="K19" i="12"/>
  <c r="K21" i="12" s="1"/>
  <c r="K23" i="12" s="1"/>
  <c r="K25" i="12" s="1"/>
  <c r="K27" i="12" s="1"/>
  <c r="L21" i="12" l="1"/>
  <c r="L23" i="12" s="1"/>
  <c r="L25" i="12" s="1"/>
  <c r="L27" i="12" s="1"/>
  <c r="J28" i="12"/>
  <c r="J22" i="12"/>
  <c r="E29" i="12"/>
  <c r="D29" i="12"/>
  <c r="E26" i="12"/>
  <c r="D26" i="12"/>
  <c r="E20" i="12"/>
  <c r="O20" i="12" s="1"/>
  <c r="D20" i="12"/>
  <c r="N20" i="12" s="1"/>
  <c r="E17" i="12"/>
  <c r="O17" i="12" s="1"/>
  <c r="D17" i="12"/>
  <c r="N17" i="12" s="1"/>
  <c r="E16" i="12"/>
  <c r="O16" i="12" s="1"/>
  <c r="D16" i="12"/>
  <c r="N16" i="12" s="1"/>
  <c r="E15" i="12"/>
  <c r="O15" i="12" s="1"/>
  <c r="D15" i="12"/>
  <c r="N15" i="12" s="1"/>
  <c r="E14" i="12"/>
  <c r="O14" i="12" s="1"/>
  <c r="D14" i="12"/>
  <c r="N14" i="12" s="1"/>
  <c r="E13" i="12"/>
  <c r="O13" i="12" s="1"/>
  <c r="D13" i="12"/>
  <c r="N13" i="12" s="1"/>
  <c r="E12" i="12"/>
  <c r="O12" i="12" s="1"/>
  <c r="D12" i="12"/>
  <c r="N12" i="12" s="1"/>
  <c r="E10" i="12"/>
  <c r="O10" i="12" s="1"/>
  <c r="D10" i="12"/>
  <c r="N10" i="12" s="1"/>
  <c r="E9" i="12"/>
  <c r="O9" i="12" s="1"/>
  <c r="D9" i="12"/>
  <c r="N9" i="12" s="1"/>
  <c r="E8" i="12"/>
  <c r="O8" i="12" s="1"/>
  <c r="D8" i="12"/>
  <c r="N8" i="12" s="1"/>
  <c r="E7" i="12"/>
  <c r="O7" i="12" s="1"/>
  <c r="D7" i="12"/>
  <c r="N7" i="12" s="1"/>
  <c r="P16" i="12" l="1"/>
  <c r="P20" i="12"/>
  <c r="O26" i="12"/>
  <c r="J26" i="12"/>
  <c r="O19" i="12"/>
  <c r="O21" i="12" s="1"/>
  <c r="O23" i="12" s="1"/>
  <c r="O25" i="12" s="1"/>
  <c r="P8" i="12"/>
  <c r="P10" i="12"/>
  <c r="P13" i="12"/>
  <c r="P15" i="12"/>
  <c r="P17" i="12"/>
  <c r="N26" i="12"/>
  <c r="J20" i="12"/>
  <c r="P7" i="12"/>
  <c r="P9" i="12"/>
  <c r="P12" i="12"/>
  <c r="P14" i="12"/>
  <c r="N19" i="12"/>
  <c r="P26" i="12" l="1"/>
  <c r="O27" i="12"/>
  <c r="N21" i="12"/>
  <c r="P19" i="12"/>
  <c r="N23" i="12" l="1"/>
  <c r="P21" i="12"/>
  <c r="G75" i="13"/>
  <c r="F75" i="13"/>
  <c r="E71" i="13"/>
  <c r="D71" i="13"/>
  <c r="G66" i="13"/>
  <c r="G63" i="13"/>
  <c r="G59" i="13"/>
  <c r="G56" i="13"/>
  <c r="G55" i="13"/>
  <c r="F66" i="13"/>
  <c r="F63" i="13"/>
  <c r="F59" i="13"/>
  <c r="F56" i="13"/>
  <c r="F55" i="13"/>
  <c r="G48" i="13"/>
  <c r="G36" i="13"/>
  <c r="G34" i="13"/>
  <c r="G33" i="13"/>
  <c r="F48" i="13"/>
  <c r="F36" i="13"/>
  <c r="F34" i="13"/>
  <c r="F33" i="13"/>
  <c r="G22" i="13"/>
  <c r="G21" i="13"/>
  <c r="G20" i="13"/>
  <c r="G19" i="13"/>
  <c r="G16" i="13"/>
  <c r="G15" i="13"/>
  <c r="G14" i="13"/>
  <c r="G12" i="13"/>
  <c r="F22" i="13"/>
  <c r="F21" i="13"/>
  <c r="F20" i="13"/>
  <c r="F19" i="13"/>
  <c r="F16" i="13"/>
  <c r="F15" i="13"/>
  <c r="F14" i="13"/>
  <c r="F12" i="13"/>
  <c r="G10" i="13"/>
  <c r="G9" i="13"/>
  <c r="G6" i="13"/>
  <c r="F10" i="13"/>
  <c r="F9" i="13"/>
  <c r="F6" i="13"/>
  <c r="G57" i="13" l="1"/>
  <c r="N25" i="12"/>
  <c r="P23" i="12"/>
  <c r="E71" i="11"/>
  <c r="E69" i="11"/>
  <c r="E66" i="11"/>
  <c r="E65" i="11"/>
  <c r="D71" i="11"/>
  <c r="D69" i="11"/>
  <c r="D66" i="11"/>
  <c r="D65" i="11"/>
  <c r="E58" i="11"/>
  <c r="E57" i="11"/>
  <c r="E56" i="11"/>
  <c r="E55" i="11"/>
  <c r="E54" i="11"/>
  <c r="E53" i="11"/>
  <c r="E46" i="11"/>
  <c r="E45" i="11"/>
  <c r="E44" i="11"/>
  <c r="E43" i="11"/>
  <c r="E42" i="11"/>
  <c r="E41" i="11"/>
  <c r="E40" i="11"/>
  <c r="E30" i="11"/>
  <c r="E29" i="11"/>
  <c r="E28" i="11"/>
  <c r="E27" i="11"/>
  <c r="E26" i="11"/>
  <c r="E25" i="11"/>
  <c r="E24" i="11"/>
  <c r="E14" i="11"/>
  <c r="E13" i="11"/>
  <c r="E12" i="11"/>
  <c r="E11" i="11"/>
  <c r="E10" i="11"/>
  <c r="E8" i="11"/>
  <c r="D58" i="11"/>
  <c r="D57" i="11"/>
  <c r="D56" i="11"/>
  <c r="D55" i="11"/>
  <c r="D54" i="11"/>
  <c r="D53" i="11"/>
  <c r="D46" i="11"/>
  <c r="D45" i="11"/>
  <c r="D44" i="11"/>
  <c r="D43" i="11"/>
  <c r="D42" i="11"/>
  <c r="D41" i="11"/>
  <c r="D40" i="11"/>
  <c r="D30" i="11"/>
  <c r="D29" i="11"/>
  <c r="D28" i="11"/>
  <c r="D27" i="11"/>
  <c r="D26" i="11"/>
  <c r="D25" i="11"/>
  <c r="D24" i="11"/>
  <c r="D14" i="11"/>
  <c r="D13" i="11"/>
  <c r="D12" i="11"/>
  <c r="D11" i="11"/>
  <c r="D10" i="11"/>
  <c r="D8" i="11"/>
  <c r="R25" i="12" l="1"/>
  <c r="P25" i="12"/>
  <c r="Q25" i="12" s="1"/>
  <c r="N27" i="12"/>
  <c r="P27" i="12" s="1"/>
  <c r="E15" i="11"/>
  <c r="E20" i="11" s="1"/>
  <c r="D15" i="11" l="1"/>
  <c r="D20" i="11" s="1"/>
  <c r="D37" i="4" l="1"/>
  <c r="G14" i="4"/>
  <c r="G8" i="4"/>
  <c r="D39" i="4" s="1"/>
  <c r="E66" i="4" l="1"/>
  <c r="E65" i="4"/>
  <c r="E63" i="4"/>
  <c r="E62" i="4"/>
  <c r="E60" i="4"/>
  <c r="E59" i="4"/>
  <c r="E58" i="4"/>
  <c r="E57" i="4"/>
  <c r="E55" i="4"/>
  <c r="E54" i="4"/>
  <c r="E53" i="4"/>
  <c r="E52" i="4"/>
  <c r="E51" i="4"/>
  <c r="E50" i="4"/>
  <c r="D38" i="4"/>
  <c r="D36" i="4"/>
  <c r="F32" i="4"/>
  <c r="F31" i="4"/>
  <c r="F30" i="4"/>
  <c r="F29" i="4"/>
  <c r="F28" i="4"/>
  <c r="F25" i="4"/>
  <c r="F24" i="4"/>
  <c r="F23" i="4"/>
  <c r="F22" i="4"/>
  <c r="F21" i="4"/>
  <c r="F20" i="4"/>
  <c r="F19" i="4"/>
  <c r="F18" i="4"/>
  <c r="E56" i="4" l="1"/>
  <c r="E61" i="4"/>
  <c r="E64" i="4" s="1"/>
  <c r="E67" i="4" s="1"/>
  <c r="E68" i="4" l="1"/>
  <c r="E30" i="12"/>
  <c r="D30" i="12"/>
  <c r="E19" i="12"/>
  <c r="E21" i="12" s="1"/>
  <c r="E23" i="12" s="1"/>
  <c r="E25" i="12" s="1"/>
  <c r="E27" i="12" s="1"/>
  <c r="D19" i="12" l="1"/>
  <c r="D21" i="12" s="1"/>
  <c r="F79" i="13"/>
  <c r="H75" i="13"/>
  <c r="H72" i="13"/>
  <c r="G71" i="13"/>
  <c r="F71" i="13"/>
  <c r="H66" i="13"/>
  <c r="H65" i="13"/>
  <c r="H64" i="13"/>
  <c r="H63" i="13"/>
  <c r="H62" i="13"/>
  <c r="H61" i="13"/>
  <c r="H60" i="13"/>
  <c r="H59" i="13"/>
  <c r="H58" i="13"/>
  <c r="H56" i="13"/>
  <c r="H55" i="13"/>
  <c r="G67" i="13"/>
  <c r="E30" i="4" s="1"/>
  <c r="F57" i="13"/>
  <c r="F67" i="13" s="1"/>
  <c r="E57" i="13"/>
  <c r="E67" i="13" s="1"/>
  <c r="D57" i="13"/>
  <c r="D67" i="13" s="1"/>
  <c r="G54" i="13"/>
  <c r="F54" i="13"/>
  <c r="G53" i="13"/>
  <c r="F53" i="13"/>
  <c r="H53" i="13" s="1"/>
  <c r="G52" i="13"/>
  <c r="F52" i="13"/>
  <c r="G51" i="13"/>
  <c r="F51" i="13"/>
  <c r="E49" i="13"/>
  <c r="D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3" i="13"/>
  <c r="E28" i="4" s="1"/>
  <c r="F23" i="13"/>
  <c r="E23" i="13"/>
  <c r="D23" i="13"/>
  <c r="H22" i="13"/>
  <c r="H21" i="13"/>
  <c r="H20" i="13"/>
  <c r="H19" i="13"/>
  <c r="H18" i="13"/>
  <c r="H17" i="13"/>
  <c r="H16" i="13"/>
  <c r="H15" i="13"/>
  <c r="H14" i="13"/>
  <c r="H13" i="13"/>
  <c r="H12" i="13"/>
  <c r="H10" i="13"/>
  <c r="H9" i="13"/>
  <c r="H8" i="13"/>
  <c r="H7" i="13"/>
  <c r="H6" i="13"/>
  <c r="D66" i="4"/>
  <c r="C66" i="4"/>
  <c r="D65" i="4"/>
  <c r="E24" i="4" s="1"/>
  <c r="C65" i="4"/>
  <c r="Q50" i="4"/>
  <c r="F63" i="4"/>
  <c r="D62" i="4"/>
  <c r="C62" i="4"/>
  <c r="D60" i="4"/>
  <c r="C60" i="4"/>
  <c r="D59" i="4"/>
  <c r="C59" i="4"/>
  <c r="D58" i="4"/>
  <c r="E21" i="4" s="1"/>
  <c r="C58" i="4"/>
  <c r="D57" i="4"/>
  <c r="C57" i="4"/>
  <c r="D55" i="4"/>
  <c r="C55" i="4"/>
  <c r="D54" i="4"/>
  <c r="C54" i="4"/>
  <c r="D53" i="4"/>
  <c r="E25" i="4" s="1"/>
  <c r="C53" i="4"/>
  <c r="D52" i="4"/>
  <c r="C52" i="4"/>
  <c r="D51" i="4"/>
  <c r="C51" i="4"/>
  <c r="D50" i="4"/>
  <c r="C50" i="4"/>
  <c r="E49" i="4"/>
  <c r="D49" i="4"/>
  <c r="Q46" i="4"/>
  <c r="D46" i="4"/>
  <c r="M49" i="4" s="1"/>
  <c r="N49" i="4" s="1"/>
  <c r="C46" i="4"/>
  <c r="K49" i="4" s="1"/>
  <c r="M39" i="4"/>
  <c r="M45" i="4" s="1"/>
  <c r="N45" i="4" s="1"/>
  <c r="M30" i="4"/>
  <c r="E32" i="4"/>
  <c r="D32" i="4"/>
  <c r="F27" i="4"/>
  <c r="E27" i="4"/>
  <c r="D27" i="4"/>
  <c r="M24" i="4"/>
  <c r="M29" i="4"/>
  <c r="M27" i="4"/>
  <c r="D24" i="4"/>
  <c r="K27" i="4" s="1"/>
  <c r="M26" i="4"/>
  <c r="E22" i="4"/>
  <c r="M28" i="4"/>
  <c r="M23" i="4"/>
  <c r="D16" i="4"/>
  <c r="C49" i="4" s="1"/>
  <c r="E12" i="4"/>
  <c r="D12" i="4"/>
  <c r="M4" i="4"/>
  <c r="K4" i="4"/>
  <c r="J19" i="12"/>
  <c r="J17" i="12"/>
  <c r="J16" i="12"/>
  <c r="J15" i="12"/>
  <c r="J14" i="12"/>
  <c r="J13" i="12"/>
  <c r="J12" i="12"/>
  <c r="J11" i="12"/>
  <c r="J10" i="12"/>
  <c r="J9" i="12"/>
  <c r="J8" i="12"/>
  <c r="J7" i="12"/>
  <c r="H26" i="13" l="1"/>
  <c r="H28" i="13"/>
  <c r="H30" i="13"/>
  <c r="H32" i="13"/>
  <c r="D23" i="12"/>
  <c r="J21" i="12"/>
  <c r="F51" i="4"/>
  <c r="F53" i="4"/>
  <c r="F58" i="4"/>
  <c r="F60" i="4"/>
  <c r="H51" i="13"/>
  <c r="E69" i="13"/>
  <c r="F65" i="4"/>
  <c r="D73" i="13"/>
  <c r="D77" i="13" s="1"/>
  <c r="H25" i="13"/>
  <c r="F49" i="13"/>
  <c r="D29" i="4" s="1"/>
  <c r="H29" i="13"/>
  <c r="H31" i="13"/>
  <c r="H52" i="13"/>
  <c r="H54" i="13"/>
  <c r="D56" i="4"/>
  <c r="D61" i="4"/>
  <c r="D19" i="4"/>
  <c r="E19" i="4"/>
  <c r="D25" i="4"/>
  <c r="K29" i="4" s="1"/>
  <c r="N23" i="4"/>
  <c r="H23" i="13"/>
  <c r="F66" i="4"/>
  <c r="K30" i="4"/>
  <c r="C61" i="4"/>
  <c r="F55" i="4"/>
  <c r="F52" i="4"/>
  <c r="F54" i="4"/>
  <c r="F59" i="4"/>
  <c r="F62" i="4"/>
  <c r="F50" i="4"/>
  <c r="E18" i="4"/>
  <c r="M35" i="4" s="1"/>
  <c r="F12" i="4"/>
  <c r="E73" i="13"/>
  <c r="E77" i="13" s="1"/>
  <c r="H67" i="13"/>
  <c r="D30" i="4"/>
  <c r="H71" i="13"/>
  <c r="G49" i="13"/>
  <c r="E29" i="4" s="1"/>
  <c r="E31" i="4" s="1"/>
  <c r="E33" i="4" s="1"/>
  <c r="H57" i="13"/>
  <c r="D28" i="4"/>
  <c r="H27" i="13"/>
  <c r="D69" i="13"/>
  <c r="M32" i="4"/>
  <c r="F33" i="4"/>
  <c r="M10" i="4" s="1"/>
  <c r="Q49" i="4"/>
  <c r="L49" i="4"/>
  <c r="P49" i="4" s="1"/>
  <c r="C56" i="4"/>
  <c r="D18" i="4"/>
  <c r="K35" i="4" s="1"/>
  <c r="M42" i="4"/>
  <c r="F57" i="4"/>
  <c r="D21" i="4"/>
  <c r="K28" i="4" s="1"/>
  <c r="H30" i="12"/>
  <c r="H29" i="12"/>
  <c r="H28" i="12"/>
  <c r="H26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D25" i="12" l="1"/>
  <c r="J23" i="12"/>
  <c r="F61" i="4"/>
  <c r="F69" i="13"/>
  <c r="F73" i="13" s="1"/>
  <c r="D64" i="4"/>
  <c r="D67" i="4" s="1"/>
  <c r="Q35" i="4"/>
  <c r="D31" i="4"/>
  <c r="D33" i="4" s="1"/>
  <c r="K10" i="4" s="1"/>
  <c r="G69" i="13"/>
  <c r="G73" i="13" s="1"/>
  <c r="G77" i="13" s="1"/>
  <c r="H49" i="13"/>
  <c r="F56" i="4"/>
  <c r="C64" i="4"/>
  <c r="E70" i="11"/>
  <c r="D70" i="11"/>
  <c r="E59" i="11"/>
  <c r="E11" i="4" s="1"/>
  <c r="M20" i="4" s="1"/>
  <c r="D59" i="11"/>
  <c r="E47" i="11"/>
  <c r="E50" i="11" s="1"/>
  <c r="E10" i="4" s="1"/>
  <c r="D47" i="11"/>
  <c r="D50" i="11" s="1"/>
  <c r="E31" i="11"/>
  <c r="E7" i="4" s="1"/>
  <c r="D31" i="11"/>
  <c r="J25" i="12" l="1"/>
  <c r="D27" i="12"/>
  <c r="H25" i="12"/>
  <c r="D68" i="4"/>
  <c r="E23" i="4" s="1"/>
  <c r="E20" i="4"/>
  <c r="E72" i="11"/>
  <c r="E13" i="4"/>
  <c r="D72" i="11"/>
  <c r="D13" i="4"/>
  <c r="K40" i="4" s="1"/>
  <c r="D61" i="11"/>
  <c r="D11" i="4"/>
  <c r="M17" i="4"/>
  <c r="M18" i="4"/>
  <c r="M21" i="4" s="1"/>
  <c r="N20" i="4" s="1"/>
  <c r="M8" i="4"/>
  <c r="M11" i="4"/>
  <c r="N10" i="4" s="1"/>
  <c r="M14" i="4"/>
  <c r="D10" i="4"/>
  <c r="D7" i="4"/>
  <c r="E6" i="4"/>
  <c r="D6" i="4"/>
  <c r="H69" i="13"/>
  <c r="H73" i="13"/>
  <c r="F77" i="13"/>
  <c r="R10" i="4"/>
  <c r="Q10" i="4"/>
  <c r="F64" i="4"/>
  <c r="D20" i="4"/>
  <c r="C68" i="4"/>
  <c r="C67" i="4"/>
  <c r="F67" i="4" s="1"/>
  <c r="E33" i="11"/>
  <c r="E61" i="11"/>
  <c r="D33" i="11"/>
  <c r="J27" i="12" l="1"/>
  <c r="H27" i="12"/>
  <c r="D74" i="11"/>
  <c r="E74" i="11"/>
  <c r="D35" i="4"/>
  <c r="M40" i="4" s="1"/>
  <c r="N39" i="4" s="1"/>
  <c r="M15" i="4"/>
  <c r="N14" i="4" s="1"/>
  <c r="E14" i="4"/>
  <c r="K15" i="4"/>
  <c r="F13" i="4"/>
  <c r="K20" i="4"/>
  <c r="F11" i="4"/>
  <c r="N17" i="4"/>
  <c r="K18" i="4"/>
  <c r="K8" i="4"/>
  <c r="K14" i="4"/>
  <c r="K17" i="4"/>
  <c r="D14" i="4"/>
  <c r="F10" i="4"/>
  <c r="K11" i="4"/>
  <c r="E8" i="4"/>
  <c r="M7" i="4"/>
  <c r="N7" i="4" s="1"/>
  <c r="D8" i="4"/>
  <c r="K43" i="4" s="1"/>
  <c r="K7" i="4"/>
  <c r="F78" i="13"/>
  <c r="H77" i="13"/>
  <c r="F68" i="4"/>
  <c r="D23" i="4"/>
  <c r="K26" i="4" s="1"/>
  <c r="K32" i="4" s="1"/>
  <c r="M43" i="4" l="1"/>
  <c r="N42" i="4" s="1"/>
  <c r="R40" i="4"/>
  <c r="Q40" i="4"/>
  <c r="Q15" i="4"/>
  <c r="R15" i="4"/>
  <c r="Q20" i="4"/>
  <c r="R20" i="4"/>
  <c r="R11" i="4"/>
  <c r="Q11" i="4"/>
  <c r="L10" i="4"/>
  <c r="R14" i="4"/>
  <c r="L14" i="4"/>
  <c r="Q14" i="4"/>
  <c r="R8" i="4"/>
  <c r="Q8" i="4"/>
  <c r="K21" i="4"/>
  <c r="Q18" i="4"/>
  <c r="R18" i="4"/>
  <c r="Q17" i="4"/>
  <c r="R17" i="4"/>
  <c r="L17" i="4"/>
  <c r="L7" i="4"/>
  <c r="Q7" i="4"/>
  <c r="R7" i="4"/>
  <c r="D22" i="4"/>
  <c r="N32" i="4"/>
  <c r="Q43" i="4" l="1"/>
  <c r="R43" i="4"/>
  <c r="P17" i="4"/>
  <c r="P14" i="4"/>
  <c r="S10" i="4"/>
  <c r="S11" i="4" s="1"/>
  <c r="P10" i="4"/>
  <c r="L20" i="4"/>
  <c r="R21" i="4"/>
  <c r="Q21" i="4"/>
  <c r="P7" i="4"/>
  <c r="P20" i="4" l="1"/>
  <c r="B10" i="10" l="1"/>
  <c r="B17" i="10"/>
  <c r="B19" i="10"/>
  <c r="B18" i="10"/>
  <c r="B12" i="10"/>
  <c r="B11" i="10"/>
  <c r="B13" i="10" l="1"/>
  <c r="B20" i="10" s="1"/>
  <c r="C3" i="10" l="1"/>
  <c r="F73" i="11" l="1"/>
  <c r="F71" i="11"/>
  <c r="F69" i="11"/>
  <c r="F68" i="11"/>
  <c r="F67" i="11"/>
  <c r="F65" i="11"/>
  <c r="F64" i="11"/>
  <c r="F63" i="11"/>
  <c r="F62" i="11"/>
  <c r="F60" i="11"/>
  <c r="F58" i="11"/>
  <c r="F57" i="11"/>
  <c r="F56" i="11"/>
  <c r="F55" i="11"/>
  <c r="F54" i="11"/>
  <c r="F53" i="11"/>
  <c r="F52" i="11"/>
  <c r="F51" i="11"/>
  <c r="F49" i="11"/>
  <c r="F48" i="11"/>
  <c r="F46" i="11"/>
  <c r="F45" i="11"/>
  <c r="F44" i="11"/>
  <c r="F43" i="11"/>
  <c r="F40" i="11"/>
  <c r="F39" i="11"/>
  <c r="F38" i="11"/>
  <c r="F66" i="11"/>
  <c r="F59" i="11"/>
  <c r="F42" i="11"/>
  <c r="F41" i="11"/>
  <c r="F36" i="11"/>
  <c r="F35" i="11"/>
  <c r="F34" i="11"/>
  <c r="F32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4" i="11"/>
  <c r="F13" i="11"/>
  <c r="F12" i="11"/>
  <c r="F11" i="11"/>
  <c r="F10" i="11"/>
  <c r="F9" i="11"/>
  <c r="F8" i="11"/>
  <c r="F31" i="11"/>
  <c r="F15" i="11"/>
  <c r="C17" i="10"/>
  <c r="F70" i="11"/>
  <c r="F33" i="11"/>
  <c r="F47" i="11"/>
  <c r="F20" i="11"/>
  <c r="F61" i="11"/>
  <c r="E76" i="11"/>
  <c r="F50" i="11"/>
  <c r="F72" i="11"/>
  <c r="D76" i="11"/>
  <c r="F74" i="11"/>
  <c r="C18" i="10" l="1"/>
  <c r="C19" i="10"/>
  <c r="C11" i="10" l="1"/>
  <c r="C4" i="10"/>
  <c r="C20" i="10"/>
  <c r="K24" i="4" s="1"/>
  <c r="R24" i="4" l="1"/>
  <c r="Q24" i="4"/>
  <c r="C12" i="10"/>
  <c r="C10" i="10"/>
  <c r="C13" i="10" l="1"/>
  <c r="K23" i="4" s="1"/>
  <c r="C5" i="10"/>
  <c r="C6" i="10" s="1"/>
  <c r="K39" i="4" s="1"/>
  <c r="Q23" i="4" l="1"/>
  <c r="R23" i="4"/>
  <c r="L23" i="4"/>
  <c r="P23" i="4" s="1"/>
  <c r="K42" i="4"/>
  <c r="R39" i="4"/>
  <c r="L39" i="4"/>
  <c r="P39" i="4" s="1"/>
  <c r="Q39" i="4"/>
  <c r="K45" i="4" l="1"/>
  <c r="Q42" i="4"/>
  <c r="L42" i="4"/>
  <c r="P42" i="4" s="1"/>
  <c r="R42" i="4"/>
  <c r="Q45" i="4" l="1"/>
  <c r="L45" i="4"/>
  <c r="P45" i="4" s="1"/>
</calcChain>
</file>

<file path=xl/sharedStrings.xml><?xml version="1.0" encoding="utf-8"?>
<sst xmlns="http://schemas.openxmlformats.org/spreadsheetml/2006/main" count="519" uniqueCount="368">
  <si>
    <t>Total Activos</t>
  </si>
  <si>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</si>
  <si>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</si>
  <si>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</si>
  <si>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</si>
  <si>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</si>
  <si>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</si>
  <si>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</si>
  <si>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</si>
  <si>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</si>
  <si>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</si>
  <si>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</si>
  <si>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</si>
  <si>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</si>
  <si>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</si>
  <si>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</si>
  <si>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</si>
  <si>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</si>
  <si>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</si>
  <si>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</si>
  <si>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</si>
  <si>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</si>
  <si>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</si>
  <si>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</si>
  <si>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</si>
  <si>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</si>
  <si>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</si>
  <si>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</si>
  <si>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</si>
  <si>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</si>
  <si>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</si>
  <si>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</si>
  <si>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</si>
  <si>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</si>
  <si>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</si>
  <si>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</si>
  <si>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</si>
  <si>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</si>
  <si>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</si>
  <si>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</si>
  <si>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</si>
  <si>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</si>
  <si>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</si>
  <si>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</si>
  <si>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</si>
  <si>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</si>
  <si>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</si>
  <si>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</si>
  <si>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</si>
  <si>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</si>
  <si>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</si>
  <si>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</si>
  <si>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</si>
  <si>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</si>
  <si>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</si>
  <si>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</si>
  <si>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</si>
  <si>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</si>
  <si>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</si>
  <si>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</si>
  <si>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</si>
  <si>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</si>
  <si>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%</t>
  </si>
  <si>
    <t>$</t>
  </si>
  <si>
    <t>FLUJO</t>
  </si>
  <si>
    <t>Utilidad antes de impuestos (incluye minoritario)</t>
  </si>
  <si>
    <t>MM$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</si>
  <si>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</si>
  <si>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</si>
  <si>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</si>
  <si>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</si>
  <si>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</si>
  <si>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</si>
  <si>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</si>
  <si>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</si>
  <si>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</si>
  <si>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</si>
  <si>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</si>
  <si>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</si>
  <si>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</si>
  <si>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Patrimonio controladora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</si>
  <si>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</si>
  <si>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</si>
  <si>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</si>
  <si>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</si>
  <si>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</si>
  <si>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</si>
  <si>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</si>
  <si>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</si>
  <si>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</si>
  <si>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</si>
  <si>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</si>
  <si>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</si>
  <si>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</si>
  <si>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</si>
  <si>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Efectivo y equivalentes al efectivo al final del período</t>
  </si>
  <si>
    <t>Efectivo y equivalentes al efectivo al principio del período</t>
  </si>
  <si>
    <t>Flujos de efectivo netos utilizados en actividades de financiación</t>
  </si>
  <si>
    <t>Flujos de efectivo netos utilizados en actividades de inversión</t>
  </si>
  <si>
    <t>Flujos de efectivo netos procedentes de  actividades de operación</t>
  </si>
  <si>
    <t>Acum Junio 2010</t>
  </si>
  <si>
    <t>Ingresos  de actividades ordinarias</t>
  </si>
  <si>
    <t>ACTIVOS</t>
  </si>
  <si>
    <t>Nota</t>
  </si>
  <si>
    <t>ACTIVOS CORRIENTES</t>
  </si>
  <si>
    <t>Efectivo y equivalentes al efectivo</t>
  </si>
  <si>
    <t xml:space="preserve">Otros activos financieros </t>
  </si>
  <si>
    <t>Otros activos no financieros</t>
  </si>
  <si>
    <t>Deudores comerciales y otras cuentas por cobrar</t>
  </si>
  <si>
    <t>Cuentas por cobrar a entidades relacionadas</t>
  </si>
  <si>
    <t>Inventarios</t>
  </si>
  <si>
    <t xml:space="preserve">Activos por impuestos </t>
  </si>
  <si>
    <t>Total de activos corrientes distintos de los activos o grupos de activos para su disposición clasificados como mantenidos para la venta o como mantenidos para distribuir a los propietarios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</si>
  <si>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</si>
  <si>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</si>
  <si>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Activos no corrientes o grupos de activos para su disposición clasificados como mantenidos para la venta o como mantenidos para distribuir a los propietarios</t>
  </si>
  <si>
    <t>ACTIVOS CORRIENTES TOTALES</t>
  </si>
  <si>
    <t>ACTIVOS  NO CORRIENTES</t>
  </si>
  <si>
    <t>Otros activos financieros  no corrientes</t>
  </si>
  <si>
    <t xml:space="preserve">Otros activos no financieros </t>
  </si>
  <si>
    <t xml:space="preserve">Derechos por cobrar  </t>
  </si>
  <si>
    <t>Activos intangibles distintos de la plusvalía</t>
  </si>
  <si>
    <t>Plusvalía</t>
  </si>
  <si>
    <t>Propiedades, planta y equipo</t>
  </si>
  <si>
    <t>Activos por impuestos diferidos</t>
  </si>
  <si>
    <t>TOTAL DE ACTIVOS NO CORRIENTES</t>
  </si>
  <si>
    <t>TOTAL  ACTIVOS</t>
  </si>
  <si>
    <t>PATRIMONIO Y PASIVOS</t>
  </si>
  <si>
    <t>PASIVOS CORRIENTES</t>
  </si>
  <si>
    <t xml:space="preserve">Otros pasivos financieros </t>
  </si>
  <si>
    <t>Cuentas comerciales y otras cuentas por pagar</t>
  </si>
  <si>
    <t>Cuentas por pagar a entidades relacionadas</t>
  </si>
  <si>
    <t xml:space="preserve">Otras provisiones </t>
  </si>
  <si>
    <t>Pasivos por impuestos</t>
  </si>
  <si>
    <t>Provisiones por beneficio a los empleados</t>
  </si>
  <si>
    <t xml:space="preserve">Otros pasivos no financieros </t>
  </si>
  <si>
    <t>Total de pasivos corrientes distintos de los pasivos incluídos en  grupos de activos para su disposición clasificados como mantenidos para la venta</t>
  </si>
  <si>
    <t>Pasivos incluídos en grupos de activos para su disposción clasificados como mantenidos para la venta</t>
  </si>
  <si>
    <t>PASIVOS CORRIENTES TOTALES</t>
  </si>
  <si>
    <t>PASIVOS NO CORRIENTES</t>
  </si>
  <si>
    <t>Otras provisiones</t>
  </si>
  <si>
    <t>Pasivo por impuestos diferidos</t>
  </si>
  <si>
    <t>Otras cuentas por pagar</t>
  </si>
  <si>
    <t>Provisiones  por beneficio a los empleados</t>
  </si>
  <si>
    <t>TOTAL PASIVOS NO CORRIENTES</t>
  </si>
  <si>
    <t>TOTAL PASIVOS</t>
  </si>
  <si>
    <t xml:space="preserve">PATRIMONIO </t>
  </si>
  <si>
    <t>Capital emitido</t>
  </si>
  <si>
    <t>Ganancias acumuladas</t>
  </si>
  <si>
    <t>Primas de emisión</t>
  </si>
  <si>
    <t>Otras participaciones en el patrimonio</t>
  </si>
  <si>
    <t>PATRIMONIO TOTAL</t>
  </si>
  <si>
    <t xml:space="preserve">TOTAL PATRIMONIO Y PASIVOS </t>
  </si>
  <si>
    <t>AGUAS ANDINAS S.A. (Consolidado )</t>
  </si>
  <si>
    <t xml:space="preserve">ESTADO DE RESULTADOS POR NATURALEZA </t>
  </si>
  <si>
    <t xml:space="preserve">Estado de Resultados </t>
  </si>
  <si>
    <t>Otras ganancias (pérdidas)</t>
  </si>
  <si>
    <t xml:space="preserve">Costos Financieros </t>
  </si>
  <si>
    <t xml:space="preserve">Diferencias de Cambio </t>
  </si>
  <si>
    <t>Resultados por unidades de reajuste</t>
  </si>
  <si>
    <t>Otros Gastos distintos de los de Operación</t>
  </si>
  <si>
    <t xml:space="preserve">                  Ganancia antes de Impuesto</t>
  </si>
  <si>
    <t xml:space="preserve">      Gasto por impuesto a las ganancias</t>
  </si>
  <si>
    <t xml:space="preserve">                  Ganancia procedente de operaciones continuadas </t>
  </si>
  <si>
    <t>Ganancia</t>
  </si>
  <si>
    <t>Ganancia,  Atribuible a</t>
  </si>
  <si>
    <t>Ganancia, atribuible a los propietarios de la controladora</t>
  </si>
  <si>
    <t>Ganancia (pérdida), atribuible a participaciones no controladoras</t>
  </si>
  <si>
    <t xml:space="preserve">Ganancia </t>
  </si>
  <si>
    <t xml:space="preserve">Ganancias por acción básica </t>
  </si>
  <si>
    <t>Ganancia  por acción básica en operaciones continuadas $</t>
  </si>
  <si>
    <t>Ganancias por acción  básica ($)</t>
  </si>
  <si>
    <t>Otros Ingresos y Gastos con Cargo o Abono en el Patrimonio Neto (Presentación)</t>
  </si>
  <si>
    <t>Inversión en Empresas Relacionadas</t>
  </si>
  <si>
    <t xml:space="preserve">                Otros Ingresos y Gastos con Cargo o Abono en el Patrimonio Neto, Total</t>
  </si>
  <si>
    <t>Resultado de ingresos y gastos Integrales, Total</t>
  </si>
  <si>
    <t>Resultado de Ingresos y Gastos Integrales Atribuibles a (Presentación)</t>
  </si>
  <si>
    <t>Resultado de Ingresos y Gastos Integrales Atribuible a los Accionistas Mayoritarios</t>
  </si>
  <si>
    <t>Resultado de Ingresos y Gastos Integrales Atribuible a Participaciones Minoritarias</t>
  </si>
  <si>
    <t>Resultado de Ingresos y Gastos Integrales, Total</t>
  </si>
  <si>
    <t>ESTADO DE FLUJO DE EFECTIVO DIRECTO</t>
  </si>
  <si>
    <t>NOTA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</si>
  <si>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</si>
  <si>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</si>
  <si>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</si>
  <si>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</si>
  <si>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</si>
  <si>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</si>
  <si>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Clases de pagos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</si>
  <si>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</si>
  <si>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</si>
  <si>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</si>
  <si>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</si>
  <si>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</si>
  <si>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</si>
  <si>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</si>
  <si>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</si>
  <si>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</si>
  <si>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 xml:space="preserve">Impuestos a las ganancias </t>
  </si>
  <si>
    <t>Otras salidas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</si>
  <si>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</si>
  <si>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</si>
  <si>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</si>
  <si>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</si>
  <si>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</si>
  <si>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</si>
  <si>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</si>
  <si>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</si>
  <si>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</si>
  <si>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</si>
  <si>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</si>
  <si>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</si>
  <si>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</si>
  <si>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</si>
  <si>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</si>
  <si>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</si>
  <si>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</si>
  <si>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</si>
  <si>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</si>
  <si>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</si>
  <si>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</si>
  <si>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</si>
  <si>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</si>
  <si>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</si>
  <si>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</si>
  <si>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</si>
  <si>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</si>
  <si>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Total importes procedentes de préstamos</t>
  </si>
  <si>
    <t>Préstamos de entidades relacionadas</t>
  </si>
  <si>
    <t>Pagos de préstamos</t>
  </si>
  <si>
    <t>Pagos de pasivos por arrendamientos financieros</t>
  </si>
  <si>
    <t>Pagos de préstamos a entidades relacionadas</t>
  </si>
  <si>
    <t>Incremento neto en el efectivo y equivalentes al efectivo, antes del efecto de los cambios en la tasa de cambio</t>
  </si>
  <si>
    <t>Efectos de la variación en la tasa de cambio sobre el efectivo y equivalentes al efectivo</t>
  </si>
  <si>
    <t>Incremento  neto de efectivo y equivalentes al efectivo</t>
  </si>
  <si>
    <t>EcoRiles S.A.</t>
  </si>
  <si>
    <t>11-13</t>
  </si>
  <si>
    <t>14</t>
  </si>
  <si>
    <t>7</t>
  </si>
  <si>
    <t>Diciembre 2012</t>
  </si>
  <si>
    <t>Aguas del Maipo S.A.</t>
  </si>
  <si>
    <t>Mes de pago: abril 13</t>
  </si>
  <si>
    <t>Mes de pago: nov 13</t>
  </si>
  <si>
    <t>Aguas Andinas Consolidado</t>
  </si>
  <si>
    <t>Análisis Razonado</t>
  </si>
  <si>
    <t>RESULTADO POR NATURALEZA</t>
  </si>
  <si>
    <t>Aguas Andinas S.A.:</t>
  </si>
  <si>
    <t>Grupo 2                       </t>
  </si>
  <si>
    <t>Aguas Manquehue S.A.:</t>
  </si>
  <si>
    <t>Essal S.A.:</t>
  </si>
  <si>
    <t xml:space="preserve">Grupo 1                         </t>
  </si>
  <si>
    <t xml:space="preserve">Rinconada de Maipú       </t>
  </si>
  <si>
    <t>Santa María                  </t>
  </si>
  <si>
    <t xml:space="preserve">Chicureo                        </t>
  </si>
  <si>
    <t>Chamisero                     </t>
  </si>
  <si>
    <t>Julio 2012</t>
  </si>
  <si>
    <t>Valle Grande 3               </t>
  </si>
  <si>
    <t>Grupo 1                         </t>
  </si>
  <si>
    <t>Grupo 2                         </t>
  </si>
  <si>
    <t>Grupo 3                         </t>
  </si>
  <si>
    <t>Chinquihue                   </t>
  </si>
  <si>
    <t xml:space="preserve">Los Alerces                   </t>
  </si>
  <si>
    <t>Julio 2013</t>
  </si>
  <si>
    <t>Abril 2013</t>
  </si>
  <si>
    <t>Diciembre 2013</t>
  </si>
  <si>
    <t>% Var.</t>
  </si>
  <si>
    <t>EBITDA</t>
  </si>
  <si>
    <t>Variación</t>
  </si>
  <si>
    <t>Total</t>
  </si>
  <si>
    <t>(MM$)</t>
  </si>
  <si>
    <t>Var. %</t>
  </si>
  <si>
    <t xml:space="preserve">Gestión y Servicios S.A. </t>
  </si>
  <si>
    <t>Anam S.A.</t>
  </si>
  <si>
    <t> Total</t>
  </si>
  <si>
    <t>UF</t>
  </si>
  <si>
    <t>Aguas Cordillera S.A.:</t>
  </si>
  <si>
    <t>Septiembre 2013</t>
  </si>
  <si>
    <t>Agosto 2013</t>
  </si>
  <si>
    <t>IAS</t>
  </si>
  <si>
    <t>Marzo 2013</t>
  </si>
  <si>
    <t>Dic 12 - Dic 13</t>
  </si>
  <si>
    <t>Periodo Mar 2013 - Mar 2014</t>
  </si>
  <si>
    <t>Ejercicio 2013</t>
  </si>
  <si>
    <t>Acum Marzo 2013</t>
  </si>
  <si>
    <t>Acum Marzo 2014</t>
  </si>
  <si>
    <t>2014 - 2013</t>
  </si>
  <si>
    <t>M</t>
  </si>
  <si>
    <t xml:space="preserve">  </t>
  </si>
  <si>
    <t>MM</t>
  </si>
  <si>
    <t>junio 2014</t>
  </si>
  <si>
    <t>Junio 2013</t>
  </si>
  <si>
    <t>jun. 14</t>
  </si>
  <si>
    <t>Jun. 13</t>
  </si>
  <si>
    <t>Jun 13 - Jun 14</t>
  </si>
  <si>
    <t>Mes de pago: abril 14</t>
  </si>
  <si>
    <t>Jun. 14</t>
  </si>
  <si>
    <t>Revenues</t>
  </si>
  <si>
    <t>Income  Statement (Ch$ millions)</t>
  </si>
  <si>
    <t>Operating Costs &amp; Expenses</t>
  </si>
  <si>
    <t>D&amp;A</t>
  </si>
  <si>
    <t>Operating Income (EBIT)</t>
  </si>
  <si>
    <t>Financial Result*</t>
  </si>
  <si>
    <t>Net Income</t>
  </si>
  <si>
    <t>Revenue Analysis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</si>
  <si>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</si>
  <si>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</si>
  <si>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</si>
  <si>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</si>
  <si>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</si>
  <si>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</si>
  <si>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</si>
  <si>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Customers</t>
  </si>
  <si>
    <t>Non-Sanitary Businesses</t>
  </si>
  <si>
    <t>Non-regulated, non-sanitation products</t>
  </si>
  <si>
    <t>Investment (ChMM$)</t>
  </si>
  <si>
    <t>Interconnections*</t>
  </si>
  <si>
    <t>El Yeso reservoir valve projects de Embalse el Yeso</t>
  </si>
  <si>
    <t>Storage Tank - Las Vizcachas Production Plant</t>
  </si>
  <si>
    <t>Network Maintenance</t>
  </si>
  <si>
    <t>Sales</t>
  </si>
  <si>
    <t>Difference</t>
  </si>
  <si>
    <t>YTD</t>
  </si>
  <si>
    <t>QTR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</si>
  <si>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</si>
  <si>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</si>
  <si>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</si>
  <si>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</si>
  <si>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</si>
  <si>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</si>
  <si>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</si>
  <si>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</si>
  <si>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</si>
  <si>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</si>
  <si>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</si>
  <si>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</si>
  <si>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Deic. 13</t>
  </si>
  <si>
    <t>Dec. 13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</si>
  <si>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</si>
  <si>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</si>
  <si>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</si>
  <si>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</si>
  <si>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</si>
  <si>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</si>
  <si>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</si>
  <si>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</si>
  <si>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</si>
  <si>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</si>
  <si>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</si>
  <si>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</si>
  <si>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</si>
  <si>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Ch$</t>
  </si>
  <si>
    <t>Dividend Yield*</t>
  </si>
  <si>
    <t>Cash Flow Statement (Ch$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</si>
  <si>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</si>
  <si>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</si>
  <si>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</si>
  <si>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</si>
  <si>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</si>
  <si>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 Currency</t>
  </si>
  <si>
    <t>1 - 12 months</t>
  </si>
  <si>
    <t>1 - 3 years</t>
  </si>
  <si>
    <t>3 - 5 years</t>
  </si>
  <si>
    <t>more than 5 years</t>
  </si>
  <si>
    <t>Bonds</t>
  </si>
  <si>
    <t>Bank Debt</t>
  </si>
  <si>
    <t>Promissory Notes</t>
  </si>
  <si>
    <t>% of Rev.</t>
  </si>
  <si>
    <t>Ch$ 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</si>
</sst>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  <numFmt numFmtId="167" formatCode="_-* #,##0_-;\-* #,##0_-;_-* &quot;-&quot;??_-;_-@_-"/>
    <numFmt numFmtId="168" formatCode="#,##0;[Red]\(#,##0\)"/>
    <numFmt numFmtId="169" formatCode="##,##0.00;[Red]\(##,##0.00\)"/>
    <numFmt numFmtId="170" formatCode="#,##0.000;[Red]\(#,##0.000\)"/>
    <numFmt numFmtId="171" formatCode="#,##0.00;[Red]\(#,##0.00\)"/>
    <numFmt numFmtId="172" formatCode="#,##0.00;[Red]#,##0.00"/>
    <numFmt numFmtId="173" formatCode="#,##0.0;[Red]\(#,##0.0\)"/>
    <numFmt numFmtId="174" formatCode="_-* #,##0\ _P_t_s_-;\-* #,##0\ _P_t_s_-;_-* &quot;-&quot;??\ _P_t_s_-;_-@_-"/>
    <numFmt numFmtId="175" formatCode="_-* #,##0.000_-;\-* #,##0.000_-;_-* &quot;-&quot;??_-;_-@_-"/>
    <numFmt numFmtId="176" formatCode="_-* #,##0.000000_-;\-* #,##0.000000_-;_-* &quot;-&quot;??????_-;_-@_-"/>
    <numFmt numFmtId="177" formatCode="_-* #,##0.0000_-;\-* #,##0.0000_-;_-* &quot;-&quot;??_-;_-@_-"/>
    <numFmt numFmtId="178" formatCode="_-* #,##0.000\ _P_t_s_-;\-* #,##0.000\ _P_t_s_-;_-* &quot;-&quot;??\ _P_t_s_-;_-@_-"/>
    <numFmt numFmtId="179" formatCode="_-* #,##0.0000\ _P_t_s_-;\-* #,##0.0000\ _P_t_s_-;_-* &quot;-&quot;??\ _P_t_s_-;_-@_-"/>
    <numFmt numFmtId="180" formatCode="0.00000"/>
    <numFmt numFmtId="181" formatCode="0.0000"/>
    <numFmt numFmtId="182" formatCode="0.000"/>
    <numFmt numFmtId="183" formatCode="_-* #,##0.000_-;\-* #,##0.000_-;_-* &quot;-&quot;???_-;_-@_-"/>
    <numFmt numFmtId="184" formatCode="##,##0;\(##,##0\)"/>
    <numFmt numFmtId="185" formatCode="0.0000%"/>
    <numFmt numFmtId="186" formatCode="0.0%"/>
    <numFmt numFmtId="187" formatCode="#,##0;\(\ #,##0\)"/>
    <numFmt numFmtId="188" formatCode="#,##0;\(\ \ #,##0\)"/>
    <numFmt numFmtId="189" formatCode="dd\-mm\-yyyy"/>
    <numFmt numFmtId="190" formatCode="d\-m\-yyyy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</numFmts>
  <fonts count="96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0"/>
      <color indexed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8"/>
      <color theme="0"/>
      <name val="Arial"/>
      <family val="2"/>
    </font>
    <font>
      <sz val="10"/>
      <color rgb="FFFF0000"/>
      <name val="Tahoma"/>
      <family val="2"/>
    </font>
    <font>
      <sz val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6"/>
      <name val="Tahoma"/>
      <family val="2"/>
    </font>
    <font>
      <b/>
      <sz val="8"/>
      <name val="Tahoma"/>
      <family val="2"/>
    </font>
    <font>
      <sz val="8"/>
      <name val="Verdana"/>
      <family val="2"/>
    </font>
    <font>
      <sz val="8"/>
      <color indexed="20"/>
      <name val="Arial"/>
      <family val="2"/>
    </font>
    <font>
      <b/>
      <sz val="8"/>
      <color theme="0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b/>
      <sz val="8"/>
      <color indexed="20"/>
      <name val="Arial"/>
      <family val="2"/>
    </font>
    <font>
      <b/>
      <sz val="8"/>
      <color indexed="62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8"/>
      <color rgb="FF7030A0"/>
      <name val="Arial"/>
      <family val="2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thin">
        <color indexed="64"/>
      </bottom>
      <diagonal/>
    </border>
  </borders>
  <cellStyleXfs count="169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5" fillId="8" borderId="0" applyNumberFormat="0" applyBorder="0" applyAlignment="0" applyProtection="0"/>
    <xf numFmtId="0" fontId="64" fillId="75" borderId="0" applyNumberFormat="0" applyBorder="0" applyAlignment="0" applyProtection="0"/>
    <xf numFmtId="0" fontId="65" fillId="75" borderId="0" applyNumberFormat="0" applyBorder="0" applyAlignment="0" applyProtection="0"/>
    <xf numFmtId="0" fontId="5" fillId="9" borderId="0" applyNumberFormat="0" applyBorder="0" applyAlignment="0" applyProtection="0"/>
    <xf numFmtId="0" fontId="64" fillId="76" borderId="0" applyNumberFormat="0" applyBorder="0" applyAlignment="0" applyProtection="0"/>
    <xf numFmtId="0" fontId="65" fillId="76" borderId="0" applyNumberFormat="0" applyBorder="0" applyAlignment="0" applyProtection="0"/>
    <xf numFmtId="0" fontId="5" fillId="10" borderId="0" applyNumberFormat="0" applyBorder="0" applyAlignment="0" applyProtection="0"/>
    <xf numFmtId="0" fontId="64" fillId="77" borderId="0" applyNumberFormat="0" applyBorder="0" applyAlignment="0" applyProtection="0"/>
    <xf numFmtId="0" fontId="65" fillId="77" borderId="0" applyNumberFormat="0" applyBorder="0" applyAlignment="0" applyProtection="0"/>
    <xf numFmtId="0" fontId="5" fillId="11" borderId="0" applyNumberFormat="0" applyBorder="0" applyAlignment="0" applyProtection="0"/>
    <xf numFmtId="0" fontId="64" fillId="78" borderId="0" applyNumberFormat="0" applyBorder="0" applyAlignment="0" applyProtection="0"/>
    <xf numFmtId="0" fontId="65" fillId="78" borderId="0" applyNumberFormat="0" applyBorder="0" applyAlignment="0" applyProtection="0"/>
    <xf numFmtId="0" fontId="5" fillId="12" borderId="0" applyNumberFormat="0" applyBorder="0" applyAlignment="0" applyProtection="0"/>
    <xf numFmtId="0" fontId="64" fillId="79" borderId="0" applyNumberFormat="0" applyBorder="0" applyAlignment="0" applyProtection="0"/>
    <xf numFmtId="0" fontId="65" fillId="79" borderId="0" applyNumberFormat="0" applyBorder="0" applyAlignment="0" applyProtection="0"/>
    <xf numFmtId="0" fontId="5" fillId="3" borderId="0" applyNumberFormat="0" applyBorder="0" applyAlignment="0" applyProtection="0"/>
    <xf numFmtId="0" fontId="64" fillId="80" borderId="0" applyNumberFormat="0" applyBorder="0" applyAlignment="0" applyProtection="0"/>
    <xf numFmtId="0" fontId="65" fillId="80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5" fillId="15" borderId="0" applyNumberFormat="0" applyBorder="0" applyAlignment="0" applyProtection="0"/>
    <xf numFmtId="0" fontId="64" fillId="81" borderId="0" applyNumberFormat="0" applyBorder="0" applyAlignment="0" applyProtection="0"/>
    <xf numFmtId="0" fontId="65" fillId="81" borderId="0" applyNumberFormat="0" applyBorder="0" applyAlignment="0" applyProtection="0"/>
    <xf numFmtId="0" fontId="5" fillId="9" borderId="0" applyNumberFormat="0" applyBorder="0" applyAlignment="0" applyProtection="0"/>
    <xf numFmtId="0" fontId="64" fillId="82" borderId="0" applyNumberFormat="0" applyBorder="0" applyAlignment="0" applyProtection="0"/>
    <xf numFmtId="0" fontId="65" fillId="82" borderId="0" applyNumberFormat="0" applyBorder="0" applyAlignment="0" applyProtection="0"/>
    <xf numFmtId="0" fontId="5" fillId="16" borderId="0" applyNumberFormat="0" applyBorder="0" applyAlignment="0" applyProtection="0"/>
    <xf numFmtId="0" fontId="64" fillId="83" borderId="0" applyNumberFormat="0" applyBorder="0" applyAlignment="0" applyProtection="0"/>
    <xf numFmtId="0" fontId="65" fillId="83" borderId="0" applyNumberFormat="0" applyBorder="0" applyAlignment="0" applyProtection="0"/>
    <xf numFmtId="0" fontId="5" fillId="17" borderId="0" applyNumberFormat="0" applyBorder="0" applyAlignment="0" applyProtection="0"/>
    <xf numFmtId="0" fontId="64" fillId="84" borderId="0" applyNumberFormat="0" applyBorder="0" applyAlignment="0" applyProtection="0"/>
    <xf numFmtId="0" fontId="65" fillId="84" borderId="0" applyNumberFormat="0" applyBorder="0" applyAlignment="0" applyProtection="0"/>
    <xf numFmtId="0" fontId="5" fillId="15" borderId="0" applyNumberFormat="0" applyBorder="0" applyAlignment="0" applyProtection="0"/>
    <xf numFmtId="0" fontId="64" fillId="85" borderId="0" applyNumberFormat="0" applyBorder="0" applyAlignment="0" applyProtection="0"/>
    <xf numFmtId="0" fontId="65" fillId="85" borderId="0" applyNumberFormat="0" applyBorder="0" applyAlignment="0" applyProtection="0"/>
    <xf numFmtId="0" fontId="5" fillId="7" borderId="0" applyNumberFormat="0" applyBorder="0" applyAlignment="0" applyProtection="0"/>
    <xf numFmtId="0" fontId="64" fillId="86" borderId="0" applyNumberFormat="0" applyBorder="0" applyAlignment="0" applyProtection="0"/>
    <xf numFmtId="0" fontId="65" fillId="86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6" fillId="87" borderId="0" applyNumberFormat="0" applyBorder="0" applyAlignment="0" applyProtection="0"/>
    <xf numFmtId="0" fontId="6" fillId="9" borderId="0" applyNumberFormat="0" applyBorder="0" applyAlignment="0" applyProtection="0"/>
    <xf numFmtId="0" fontId="66" fillId="88" borderId="0" applyNumberFormat="0" applyBorder="0" applyAlignment="0" applyProtection="0"/>
    <xf numFmtId="0" fontId="6" fillId="16" borderId="0" applyNumberFormat="0" applyBorder="0" applyAlignment="0" applyProtection="0"/>
    <xf numFmtId="0" fontId="66" fillId="89" borderId="0" applyNumberFormat="0" applyBorder="0" applyAlignment="0" applyProtection="0"/>
    <xf numFmtId="0" fontId="6" fillId="17" borderId="0" applyNumberFormat="0" applyBorder="0" applyAlignment="0" applyProtection="0"/>
    <xf numFmtId="0" fontId="66" fillId="90" borderId="0" applyNumberFormat="0" applyBorder="0" applyAlignment="0" applyProtection="0"/>
    <xf numFmtId="0" fontId="6" fillId="15" borderId="0" applyNumberFormat="0" applyBorder="0" applyAlignment="0" applyProtection="0"/>
    <xf numFmtId="0" fontId="66" fillId="91" borderId="0" applyNumberFormat="0" applyBorder="0" applyAlignment="0" applyProtection="0"/>
    <xf numFmtId="0" fontId="6" fillId="7" borderId="0" applyNumberFormat="0" applyBorder="0" applyAlignment="0" applyProtection="0"/>
    <xf numFmtId="0" fontId="66" fillId="92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6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7" fillId="17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65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2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67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" fillId="0" borderId="0"/>
    <xf numFmtId="0" fontId="4" fillId="0" borderId="0"/>
    <xf numFmtId="0" fontId="53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3" borderId="4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1" fillId="15" borderId="17" applyBorder="0"/>
    <xf numFmtId="4" fontId="5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</cellStyleXfs>
  <cellXfs count="404">
    <xf numFmtId="0" fontId="0" fillId="0" borderId="0" xfId="0"/>
    <xf numFmtId="0" fontId="4" fillId="0" borderId="0" xfId="0" applyFont="1"/>
    <xf numFmtId="0" fontId="33" fillId="0" borderId="0" xfId="0" applyFont="1"/>
    <xf numFmtId="184" fontId="33" fillId="0" borderId="0" xfId="0" applyNumberFormat="1" applyFont="1"/>
    <xf numFmtId="3" fontId="33" fillId="0" borderId="0" xfId="0" applyNumberFormat="1" applyFont="1"/>
    <xf numFmtId="0" fontId="33" fillId="0" borderId="0" xfId="0" applyFont="1" applyFill="1"/>
    <xf numFmtId="0" fontId="31" fillId="0" borderId="0" xfId="0" applyFont="1"/>
    <xf numFmtId="0" fontId="31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25" xfId="0" applyFont="1" applyBorder="1"/>
    <xf numFmtId="3" fontId="3" fillId="0" borderId="25" xfId="0" applyNumberFormat="1" applyFont="1" applyBorder="1"/>
    <xf numFmtId="3" fontId="31" fillId="0" borderId="0" xfId="0" applyNumberFormat="1" applyFont="1"/>
    <xf numFmtId="0" fontId="69" fillId="0" borderId="0" xfId="0" applyFont="1"/>
    <xf numFmtId="0" fontId="33" fillId="0" borderId="0" xfId="903" applyFont="1" applyFill="1" applyBorder="1"/>
    <xf numFmtId="3" fontId="33" fillId="0" borderId="0" xfId="903" applyNumberFormat="1" applyFont="1" applyFill="1" applyBorder="1"/>
    <xf numFmtId="0" fontId="32" fillId="0" borderId="0" xfId="903" applyFont="1" applyFill="1" applyBorder="1"/>
    <xf numFmtId="3" fontId="33" fillId="0" borderId="29" xfId="903" applyNumberFormat="1" applyFont="1" applyFill="1" applyBorder="1" applyAlignment="1">
      <alignment vertical="center"/>
    </xf>
    <xf numFmtId="3" fontId="32" fillId="73" borderId="29" xfId="903" applyNumberFormat="1" applyFont="1" applyFill="1" applyBorder="1" applyAlignment="1">
      <alignment vertical="center"/>
    </xf>
    <xf numFmtId="0" fontId="32" fillId="0" borderId="0" xfId="903" applyFont="1" applyFill="1" applyBorder="1" applyAlignment="1">
      <alignment horizontal="center" vertical="center"/>
    </xf>
    <xf numFmtId="3" fontId="32" fillId="0" borderId="29" xfId="903" applyNumberFormat="1" applyFont="1" applyFill="1" applyBorder="1" applyAlignment="1">
      <alignment vertical="center"/>
    </xf>
    <xf numFmtId="0" fontId="33" fillId="0" borderId="0" xfId="903" applyFont="1" applyAlignment="1"/>
    <xf numFmtId="0" fontId="32" fillId="74" borderId="26" xfId="71" applyFont="1" applyFill="1" applyBorder="1" applyAlignment="1">
      <alignment vertical="center" wrapText="1"/>
    </xf>
    <xf numFmtId="0" fontId="33" fillId="0" borderId="0" xfId="903" applyFont="1" applyAlignment="1">
      <alignment horizontal="center"/>
    </xf>
    <xf numFmtId="3" fontId="33" fillId="0" borderId="0" xfId="903" applyNumberFormat="1" applyFont="1" applyAlignment="1"/>
    <xf numFmtId="0" fontId="33" fillId="0" borderId="0" xfId="903" applyFont="1" applyFill="1" applyAlignment="1"/>
    <xf numFmtId="3" fontId="33" fillId="0" borderId="31" xfId="903" applyNumberFormat="1" applyFont="1" applyFill="1" applyBorder="1" applyAlignment="1">
      <alignment horizontal="center" vertical="center"/>
    </xf>
    <xf numFmtId="0" fontId="32" fillId="0" borderId="33" xfId="903" applyFont="1" applyFill="1" applyBorder="1" applyAlignment="1">
      <alignment horizontal="center" vertical="center"/>
    </xf>
    <xf numFmtId="0" fontId="32" fillId="0" borderId="34" xfId="903" applyFont="1" applyFill="1" applyBorder="1" applyAlignment="1">
      <alignment horizontal="left" vertical="center"/>
    </xf>
    <xf numFmtId="0" fontId="30" fillId="0" borderId="0" xfId="903" applyFont="1"/>
    <xf numFmtId="0" fontId="4" fillId="0" borderId="0" xfId="903" applyFont="1" applyAlignment="1">
      <alignment horizontal="center"/>
    </xf>
    <xf numFmtId="0" fontId="4" fillId="0" borderId="0" xfId="903" applyFont="1"/>
    <xf numFmtId="0" fontId="4" fillId="0" borderId="0" xfId="903" applyFont="1" applyAlignment="1">
      <alignment wrapText="1"/>
    </xf>
    <xf numFmtId="0" fontId="4" fillId="0" borderId="35" xfId="903" applyFont="1" applyBorder="1" applyAlignment="1">
      <alignment wrapText="1"/>
    </xf>
    <xf numFmtId="3" fontId="4" fillId="0" borderId="0" xfId="903" applyNumberFormat="1" applyFont="1"/>
    <xf numFmtId="0" fontId="63" fillId="0" borderId="0" xfId="903" applyFont="1" applyFill="1"/>
    <xf numFmtId="0" fontId="33" fillId="0" borderId="0" xfId="0" applyFont="1" applyAlignment="1"/>
    <xf numFmtId="0" fontId="4" fillId="0" borderId="0" xfId="903" applyFont="1" applyFill="1"/>
    <xf numFmtId="3" fontId="4" fillId="0" borderId="0" xfId="903" applyNumberFormat="1" applyFont="1" applyFill="1"/>
    <xf numFmtId="0" fontId="33" fillId="0" borderId="0" xfId="0" applyFont="1" applyAlignment="1">
      <alignment vertical="center"/>
    </xf>
    <xf numFmtId="17" fontId="31" fillId="0" borderId="0" xfId="0" applyNumberFormat="1" applyFont="1" applyAlignment="1">
      <alignment horizontal="center"/>
    </xf>
    <xf numFmtId="0" fontId="4" fillId="0" borderId="0" xfId="903" applyFont="1" applyFill="1" applyAlignment="1">
      <alignment horizontal="center"/>
    </xf>
    <xf numFmtId="189" fontId="72" fillId="73" borderId="27" xfId="0" applyNumberFormat="1" applyFont="1" applyFill="1" applyBorder="1" applyAlignment="1">
      <alignment horizontal="center" vertical="center"/>
    </xf>
    <xf numFmtId="190" fontId="72" fillId="73" borderId="28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left" vertical="center"/>
    </xf>
    <xf numFmtId="0" fontId="72" fillId="0" borderId="0" xfId="0" applyFont="1" applyFill="1" applyBorder="1" applyAlignment="1">
      <alignment horizontal="left" vertical="center" indent="1"/>
    </xf>
    <xf numFmtId="0" fontId="72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left" vertical="center" indent="2"/>
    </xf>
    <xf numFmtId="3" fontId="73" fillId="0" borderId="0" xfId="0" applyNumberFormat="1" applyFont="1" applyFill="1" applyBorder="1" applyAlignment="1">
      <alignment vertical="center"/>
    </xf>
    <xf numFmtId="0" fontId="73" fillId="0" borderId="29" xfId="0" applyFont="1" applyFill="1" applyBorder="1" applyAlignment="1">
      <alignment horizontal="left" vertical="center" indent="3"/>
    </xf>
    <xf numFmtId="0" fontId="73" fillId="0" borderId="29" xfId="0" applyFont="1" applyFill="1" applyBorder="1" applyAlignment="1">
      <alignment horizontal="center" vertical="center"/>
    </xf>
    <xf numFmtId="3" fontId="73" fillId="0" borderId="29" xfId="0" applyNumberFormat="1" applyFont="1" applyFill="1" applyBorder="1" applyAlignment="1">
      <alignment vertical="center"/>
    </xf>
    <xf numFmtId="0" fontId="72" fillId="73" borderId="29" xfId="0" applyFont="1" applyFill="1" applyBorder="1" applyAlignment="1">
      <alignment horizontal="left" vertical="justify" indent="2"/>
    </xf>
    <xf numFmtId="0" fontId="72" fillId="73" borderId="29" xfId="0" applyFont="1" applyFill="1" applyBorder="1" applyAlignment="1">
      <alignment horizontal="center" vertical="center"/>
    </xf>
    <xf numFmtId="3" fontId="72" fillId="73" borderId="29" xfId="0" applyNumberFormat="1" applyFont="1" applyFill="1" applyBorder="1" applyAlignment="1">
      <alignment vertical="center"/>
    </xf>
    <xf numFmtId="0" fontId="73" fillId="0" borderId="29" xfId="0" applyFont="1" applyFill="1" applyBorder="1" applyAlignment="1">
      <alignment horizontal="left" vertical="justify" indent="3"/>
    </xf>
    <xf numFmtId="0" fontId="72" fillId="73" borderId="29" xfId="0" applyFont="1" applyFill="1" applyBorder="1" applyAlignment="1">
      <alignment horizontal="left" vertical="center" indent="2"/>
    </xf>
    <xf numFmtId="0" fontId="72" fillId="73" borderId="29" xfId="0" applyFont="1" applyFill="1" applyBorder="1" applyAlignment="1">
      <alignment horizontal="left" vertical="center" indent="3"/>
    </xf>
    <xf numFmtId="0" fontId="72" fillId="0" borderId="0" xfId="0" applyFont="1" applyFill="1" applyBorder="1" applyAlignment="1">
      <alignment horizontal="left" vertical="center" indent="3"/>
    </xf>
    <xf numFmtId="3" fontId="72" fillId="0" borderId="0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horizontal="left" vertical="center" indent="2"/>
    </xf>
    <xf numFmtId="0" fontId="73" fillId="0" borderId="0" xfId="0" applyFont="1" applyFill="1" applyBorder="1" applyAlignment="1">
      <alignment horizontal="left" vertical="center" indent="3"/>
    </xf>
    <xf numFmtId="0" fontId="72" fillId="0" borderId="29" xfId="0" applyFont="1" applyFill="1" applyBorder="1" applyAlignment="1">
      <alignment horizontal="left" vertical="center" wrapText="1" indent="3"/>
    </xf>
    <xf numFmtId="3" fontId="72" fillId="0" borderId="29" xfId="0" applyNumberFormat="1" applyFont="1" applyFill="1" applyBorder="1" applyAlignment="1">
      <alignment vertical="center"/>
    </xf>
    <xf numFmtId="0" fontId="72" fillId="0" borderId="29" xfId="0" applyFont="1" applyFill="1" applyBorder="1" applyAlignment="1">
      <alignment horizontal="left" vertical="center" indent="3"/>
    </xf>
    <xf numFmtId="0" fontId="73" fillId="73" borderId="29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3" fontId="73" fillId="0" borderId="29" xfId="0" quotePrefix="1" applyNumberFormat="1" applyFont="1" applyFill="1" applyBorder="1" applyAlignment="1">
      <alignment horizontal="center" vertical="center"/>
    </xf>
    <xf numFmtId="0" fontId="72" fillId="73" borderId="29" xfId="0" applyFont="1" applyFill="1" applyBorder="1" applyAlignment="1">
      <alignment horizontal="left" indent="2"/>
    </xf>
    <xf numFmtId="3" fontId="72" fillId="73" borderId="29" xfId="0" applyNumberFormat="1" applyFont="1" applyFill="1" applyBorder="1" applyAlignment="1">
      <alignment horizontal="right"/>
    </xf>
    <xf numFmtId="0" fontId="73" fillId="0" borderId="0" xfId="0" applyFont="1" applyFill="1" applyBorder="1" applyAlignment="1">
      <alignment horizontal="left" vertical="center" indent="4"/>
    </xf>
    <xf numFmtId="0" fontId="71" fillId="0" borderId="0" xfId="0" applyFont="1" applyFill="1" applyBorder="1" applyAlignment="1">
      <alignment horizontal="left" vertical="center" indent="1"/>
    </xf>
    <xf numFmtId="0" fontId="71" fillId="0" borderId="0" xfId="0" applyFont="1" applyFill="1" applyBorder="1" applyAlignment="1">
      <alignment horizontal="left" vertical="center" indent="2"/>
    </xf>
    <xf numFmtId="3" fontId="71" fillId="0" borderId="0" xfId="0" applyNumberFormat="1" applyFont="1" applyFill="1" applyBorder="1" applyAlignment="1">
      <alignment vertical="center"/>
    </xf>
    <xf numFmtId="3" fontId="73" fillId="0" borderId="31" xfId="0" applyNumberFormat="1" applyFont="1" applyFill="1" applyBorder="1" applyAlignment="1">
      <alignment horizontal="center" vertical="center"/>
    </xf>
    <xf numFmtId="0" fontId="72" fillId="0" borderId="33" xfId="0" applyFont="1" applyFill="1" applyBorder="1" applyAlignment="1">
      <alignment horizontal="center" vertical="center"/>
    </xf>
    <xf numFmtId="0" fontId="72" fillId="0" borderId="37" xfId="0" applyFont="1" applyFill="1" applyBorder="1" applyAlignment="1">
      <alignment horizontal="center" vertical="center"/>
    </xf>
    <xf numFmtId="0" fontId="72" fillId="0" borderId="29" xfId="0" applyFont="1" applyFill="1" applyBorder="1" applyAlignment="1">
      <alignment horizontal="left" vertical="center" wrapText="1"/>
    </xf>
    <xf numFmtId="0" fontId="74" fillId="0" borderId="29" xfId="0" applyFont="1" applyFill="1" applyBorder="1" applyAlignment="1">
      <alignment vertical="center" wrapText="1"/>
    </xf>
    <xf numFmtId="0" fontId="72" fillId="0" borderId="30" xfId="0" applyFont="1" applyFill="1" applyBorder="1" applyAlignment="1">
      <alignment horizontal="left" vertical="center"/>
    </xf>
    <xf numFmtId="0" fontId="72" fillId="0" borderId="34" xfId="0" applyFont="1" applyFill="1" applyBorder="1" applyAlignment="1">
      <alignment horizontal="left" vertical="center"/>
    </xf>
    <xf numFmtId="0" fontId="72" fillId="73" borderId="29" xfId="0" applyFont="1" applyFill="1" applyBorder="1" applyAlignment="1">
      <alignment horizontal="left" vertical="justify" indent="3"/>
    </xf>
    <xf numFmtId="14" fontId="75" fillId="73" borderId="38" xfId="0" applyNumberFormat="1" applyFont="1" applyFill="1" applyBorder="1" applyAlignment="1">
      <alignment horizontal="center" vertical="center"/>
    </xf>
    <xf numFmtId="189" fontId="75" fillId="73" borderId="32" xfId="0" applyNumberFormat="1" applyFont="1" applyFill="1" applyBorder="1" applyAlignment="1">
      <alignment horizontal="center" vertical="center"/>
    </xf>
    <xf numFmtId="0" fontId="75" fillId="73" borderId="34" xfId="0" applyFont="1" applyFill="1" applyBorder="1" applyAlignment="1">
      <alignment horizontal="center" vertical="center"/>
    </xf>
    <xf numFmtId="0" fontId="75" fillId="73" borderId="28" xfId="0" applyFont="1" applyFill="1" applyBorder="1" applyAlignment="1">
      <alignment horizontal="center" vertical="center"/>
    </xf>
    <xf numFmtId="0" fontId="71" fillId="0" borderId="29" xfId="0" applyFont="1" applyFill="1" applyBorder="1" applyAlignment="1">
      <alignment horizontal="left" vertical="center" wrapText="1" indent="1"/>
    </xf>
    <xf numFmtId="0" fontId="71" fillId="0" borderId="29" xfId="0" applyFont="1" applyFill="1" applyBorder="1" applyAlignment="1">
      <alignment horizontal="center" vertical="center" wrapText="1"/>
    </xf>
    <xf numFmtId="3" fontId="71" fillId="0" borderId="29" xfId="0" applyNumberFormat="1" applyFont="1" applyFill="1" applyBorder="1" applyAlignment="1">
      <alignment vertical="center" wrapText="1"/>
    </xf>
    <xf numFmtId="0" fontId="75" fillId="0" borderId="29" xfId="0" applyFont="1" applyFill="1" applyBorder="1" applyAlignment="1">
      <alignment horizontal="center" vertical="center" wrapText="1"/>
    </xf>
    <xf numFmtId="0" fontId="75" fillId="73" borderId="29" xfId="0" applyFont="1" applyFill="1" applyBorder="1" applyAlignment="1">
      <alignment horizontal="left" vertical="center" wrapText="1"/>
    </xf>
    <xf numFmtId="0" fontId="75" fillId="73" borderId="29" xfId="0" applyFont="1" applyFill="1" applyBorder="1" applyAlignment="1">
      <alignment horizontal="center" vertical="center" wrapText="1"/>
    </xf>
    <xf numFmtId="3" fontId="75" fillId="73" borderId="29" xfId="0" applyNumberFormat="1" applyFont="1" applyFill="1" applyBorder="1" applyAlignment="1">
      <alignment vertical="center" wrapText="1"/>
    </xf>
    <xf numFmtId="3" fontId="76" fillId="0" borderId="29" xfId="0" applyNumberFormat="1" applyFont="1" applyFill="1" applyBorder="1" applyAlignment="1">
      <alignment vertical="center" wrapText="1"/>
    </xf>
    <xf numFmtId="0" fontId="71" fillId="0" borderId="29" xfId="0" applyFont="1" applyFill="1" applyBorder="1" applyAlignment="1">
      <alignment horizontal="left" vertical="center" wrapText="1"/>
    </xf>
    <xf numFmtId="0" fontId="71" fillId="0" borderId="29" xfId="0" applyFont="1" applyFill="1" applyBorder="1" applyAlignment="1">
      <alignment horizontal="left" vertical="center" wrapText="1" indent="2"/>
    </xf>
    <xf numFmtId="0" fontId="75" fillId="0" borderId="29" xfId="0" applyFont="1" applyFill="1" applyBorder="1" applyAlignment="1">
      <alignment horizontal="left" vertical="center" wrapText="1" indent="1"/>
    </xf>
    <xf numFmtId="3" fontId="75" fillId="0" borderId="29" xfId="0" applyNumberFormat="1" applyFont="1" applyFill="1" applyBorder="1" applyAlignment="1">
      <alignment vertical="center" wrapText="1"/>
    </xf>
    <xf numFmtId="0" fontId="76" fillId="0" borderId="29" xfId="0" applyFont="1" applyFill="1" applyBorder="1" applyAlignment="1">
      <alignment horizontal="left" vertical="center" wrapText="1"/>
    </xf>
    <xf numFmtId="191" fontId="75" fillId="73" borderId="31" xfId="840" applyNumberFormat="1" applyFont="1" applyFill="1" applyBorder="1" applyAlignment="1">
      <alignment horizontal="center" vertical="center" wrapText="1"/>
    </xf>
    <xf numFmtId="0" fontId="75" fillId="0" borderId="29" xfId="0" applyFont="1" applyFill="1" applyBorder="1" applyAlignment="1">
      <alignment horizontal="left" vertical="center" wrapText="1"/>
    </xf>
    <xf numFmtId="49" fontId="75" fillId="73" borderId="29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77" fillId="0" borderId="0" xfId="0" applyFont="1"/>
    <xf numFmtId="0" fontId="3" fillId="0" borderId="0" xfId="0" applyFont="1" applyBorder="1"/>
    <xf numFmtId="182" fontId="3" fillId="0" borderId="0" xfId="0" applyNumberFormat="1" applyFont="1" applyBorder="1"/>
    <xf numFmtId="176" fontId="3" fillId="0" borderId="0" xfId="0" applyNumberFormat="1" applyFont="1"/>
    <xf numFmtId="168" fontId="3" fillId="0" borderId="0" xfId="0" applyNumberFormat="1" applyFont="1" applyFill="1"/>
    <xf numFmtId="0" fontId="77" fillId="0" borderId="0" xfId="0" applyFont="1" applyFill="1" applyBorder="1"/>
    <xf numFmtId="0" fontId="3" fillId="0" borderId="0" xfId="0" applyFont="1" applyFill="1" applyBorder="1"/>
    <xf numFmtId="167" fontId="3" fillId="0" borderId="0" xfId="836" quotePrefix="1" applyNumberFormat="1" applyFont="1" applyBorder="1" applyAlignment="1">
      <alignment horizontal="center"/>
    </xf>
    <xf numFmtId="0" fontId="78" fillId="94" borderId="43" xfId="0" applyFont="1" applyFill="1" applyBorder="1"/>
    <xf numFmtId="0" fontId="69" fillId="94" borderId="44" xfId="0" applyFont="1" applyFill="1" applyBorder="1"/>
    <xf numFmtId="49" fontId="78" fillId="94" borderId="44" xfId="836" applyNumberFormat="1" applyFont="1" applyFill="1" applyBorder="1" applyAlignment="1">
      <alignment horizontal="center"/>
    </xf>
    <xf numFmtId="49" fontId="78" fillId="94" borderId="45" xfId="836" applyNumberFormat="1" applyFont="1" applyFill="1" applyBorder="1" applyAlignment="1">
      <alignment horizontal="center"/>
    </xf>
    <xf numFmtId="49" fontId="31" fillId="0" borderId="0" xfId="836" quotePrefix="1" applyNumberFormat="1" applyFont="1" applyFill="1" applyBorder="1" applyAlignment="1">
      <alignment horizontal="center"/>
    </xf>
    <xf numFmtId="167" fontId="31" fillId="0" borderId="0" xfId="836" quotePrefix="1" applyNumberFormat="1" applyFont="1" applyFill="1" applyAlignment="1">
      <alignment horizontal="center"/>
    </xf>
    <xf numFmtId="167" fontId="31" fillId="0" borderId="0" xfId="836" quotePrefix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1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1" fillId="0" borderId="24" xfId="0" applyFont="1" applyBorder="1"/>
    <xf numFmtId="168" fontId="3" fillId="0" borderId="0" xfId="0" applyNumberFormat="1" applyFont="1"/>
    <xf numFmtId="181" fontId="77" fillId="0" borderId="0" xfId="0" applyNumberFormat="1" applyFont="1" applyFill="1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167" fontId="3" fillId="0" borderId="47" xfId="836" applyNumberFormat="1" applyFont="1" applyBorder="1"/>
    <xf numFmtId="167" fontId="3" fillId="0" borderId="48" xfId="836" applyNumberFormat="1" applyFont="1" applyBorder="1"/>
    <xf numFmtId="167" fontId="3" fillId="0" borderId="0" xfId="836" applyNumberFormat="1" applyFont="1" applyFill="1" applyBorder="1"/>
    <xf numFmtId="177" fontId="3" fillId="0" borderId="0" xfId="836" applyNumberFormat="1" applyFont="1"/>
    <xf numFmtId="168" fontId="3" fillId="0" borderId="25" xfId="0" applyNumberFormat="1" applyFont="1" applyBorder="1"/>
    <xf numFmtId="2" fontId="79" fillId="0" borderId="0" xfId="0" applyNumberFormat="1" applyFont="1" applyFill="1"/>
    <xf numFmtId="2" fontId="31" fillId="0" borderId="0" xfId="0" applyNumberFormat="1" applyFont="1" applyFill="1" applyBorder="1"/>
    <xf numFmtId="10" fontId="3" fillId="0" borderId="0" xfId="950" applyNumberFormat="1" applyFont="1"/>
    <xf numFmtId="186" fontId="77" fillId="0" borderId="0" xfId="950" applyNumberFormat="1" applyFont="1" applyFill="1" applyBorder="1"/>
    <xf numFmtId="0" fontId="78" fillId="94" borderId="46" xfId="0" applyFont="1" applyFill="1" applyBorder="1"/>
    <xf numFmtId="0" fontId="69" fillId="94" borderId="47" xfId="0" applyFont="1" applyFill="1" applyBorder="1"/>
    <xf numFmtId="167" fontId="78" fillId="94" borderId="47" xfId="836" applyNumberFormat="1" applyFont="1" applyFill="1" applyBorder="1"/>
    <xf numFmtId="167" fontId="78" fillId="94" borderId="48" xfId="836" applyNumberFormat="1" applyFont="1" applyFill="1" applyBorder="1"/>
    <xf numFmtId="167" fontId="31" fillId="0" borderId="0" xfId="836" applyNumberFormat="1" applyFont="1" applyFill="1" applyBorder="1"/>
    <xf numFmtId="167" fontId="3" fillId="0" borderId="0" xfId="836" applyNumberFormat="1" applyFont="1"/>
    <xf numFmtId="0" fontId="31" fillId="0" borderId="0" xfId="0" applyFont="1" applyFill="1" applyBorder="1"/>
    <xf numFmtId="167" fontId="31" fillId="0" borderId="0" xfId="836" applyNumberFormat="1" applyFont="1"/>
    <xf numFmtId="0" fontId="3" fillId="0" borderId="25" xfId="0" applyFont="1" applyFill="1" applyBorder="1"/>
    <xf numFmtId="0" fontId="78" fillId="94" borderId="49" xfId="0" applyFont="1" applyFill="1" applyBorder="1"/>
    <xf numFmtId="0" fontId="69" fillId="94" borderId="50" xfId="0" applyFont="1" applyFill="1" applyBorder="1"/>
    <xf numFmtId="167" fontId="78" fillId="94" borderId="50" xfId="836" applyNumberFormat="1" applyFont="1" applyFill="1" applyBorder="1"/>
    <xf numFmtId="167" fontId="78" fillId="94" borderId="51" xfId="836" applyNumberFormat="1" applyFont="1" applyFill="1" applyBorder="1"/>
    <xf numFmtId="2" fontId="79" fillId="0" borderId="0" xfId="950" applyNumberFormat="1" applyFont="1" applyFill="1"/>
    <xf numFmtId="10" fontId="31" fillId="0" borderId="0" xfId="0" applyNumberFormat="1" applyFont="1" applyFill="1" applyBorder="1"/>
    <xf numFmtId="0" fontId="3" fillId="0" borderId="52" xfId="0" applyFont="1" applyBorder="1"/>
    <xf numFmtId="167" fontId="3" fillId="0" borderId="0" xfId="836" applyNumberFormat="1" applyFont="1" applyBorder="1"/>
    <xf numFmtId="49" fontId="78" fillId="94" borderId="44" xfId="836" quotePrefix="1" applyNumberFormat="1" applyFont="1" applyFill="1" applyBorder="1" applyAlignment="1">
      <alignment horizontal="center"/>
    </xf>
    <xf numFmtId="0" fontId="31" fillId="0" borderId="46" xfId="0" applyFont="1" applyFill="1" applyBorder="1"/>
    <xf numFmtId="0" fontId="31" fillId="0" borderId="47" xfId="0" applyFont="1" applyFill="1" applyBorder="1" applyAlignment="1">
      <alignment horizontal="center"/>
    </xf>
    <xf numFmtId="184" fontId="3" fillId="0" borderId="47" xfId="836" applyNumberFormat="1" applyFont="1" applyFill="1" applyBorder="1"/>
    <xf numFmtId="184" fontId="3" fillId="0" borderId="48" xfId="836" applyNumberFormat="1" applyFont="1" applyFill="1" applyBorder="1"/>
    <xf numFmtId="0" fontId="80" fillId="0" borderId="0" xfId="0" applyFont="1" applyFill="1" applyBorder="1"/>
    <xf numFmtId="0" fontId="3" fillId="0" borderId="46" xfId="0" applyFont="1" applyFill="1" applyBorder="1"/>
    <xf numFmtId="0" fontId="3" fillId="0" borderId="47" xfId="0" applyFont="1" applyFill="1" applyBorder="1" applyAlignment="1">
      <alignment horizontal="center"/>
    </xf>
    <xf numFmtId="167" fontId="77" fillId="0" borderId="0" xfId="0" applyNumberFormat="1" applyFont="1" applyFill="1" applyBorder="1"/>
    <xf numFmtId="168" fontId="3" fillId="0" borderId="0" xfId="0" applyNumberFormat="1" applyFont="1" applyFill="1" applyBorder="1"/>
    <xf numFmtId="184" fontId="31" fillId="0" borderId="47" xfId="836" applyNumberFormat="1" applyFont="1" applyFill="1" applyBorder="1"/>
    <xf numFmtId="184" fontId="31" fillId="0" borderId="48" xfId="836" applyNumberFormat="1" applyFont="1" applyFill="1" applyBorder="1"/>
    <xf numFmtId="174" fontId="77" fillId="0" borderId="0" xfId="836" applyNumberFormat="1" applyFont="1" applyFill="1" applyBorder="1"/>
    <xf numFmtId="168" fontId="3" fillId="0" borderId="25" xfId="0" applyNumberFormat="1" applyFont="1" applyFill="1" applyBorder="1"/>
    <xf numFmtId="169" fontId="31" fillId="0" borderId="0" xfId="0" applyNumberFormat="1" applyFont="1" applyFill="1" applyBorder="1"/>
    <xf numFmtId="171" fontId="3" fillId="0" borderId="0" xfId="0" applyNumberFormat="1" applyFont="1" applyFill="1"/>
    <xf numFmtId="10" fontId="31" fillId="0" borderId="0" xfId="0" applyNumberFormat="1" applyFont="1" applyFill="1"/>
    <xf numFmtId="0" fontId="3" fillId="0" borderId="49" xfId="0" applyFont="1" applyFill="1" applyBorder="1"/>
    <xf numFmtId="0" fontId="3" fillId="0" borderId="50" xfId="0" applyFont="1" applyFill="1" applyBorder="1" applyAlignment="1">
      <alignment horizontal="center"/>
    </xf>
    <xf numFmtId="184" fontId="3" fillId="0" borderId="50" xfId="836" applyNumberFormat="1" applyFont="1" applyFill="1" applyBorder="1"/>
    <xf numFmtId="184" fontId="3" fillId="0" borderId="0" xfId="836" applyNumberFormat="1" applyFont="1" applyBorder="1"/>
    <xf numFmtId="186" fontId="3" fillId="0" borderId="0" xfId="950" applyNumberFormat="1" applyFont="1" applyBorder="1"/>
    <xf numFmtId="174" fontId="3" fillId="0" borderId="0" xfId="836" applyNumberFormat="1" applyFont="1"/>
    <xf numFmtId="167" fontId="78" fillId="94" borderId="44" xfId="836" quotePrefix="1" applyNumberFormat="1" applyFont="1" applyFill="1" applyBorder="1" applyAlignment="1">
      <alignment horizontal="center"/>
    </xf>
    <xf numFmtId="167" fontId="78" fillId="94" borderId="45" xfId="836" quotePrefix="1" applyNumberFormat="1" applyFont="1" applyFill="1" applyBorder="1" applyAlignment="1">
      <alignment horizontal="center"/>
    </xf>
    <xf numFmtId="184" fontId="3" fillId="0" borderId="47" xfId="836" applyNumberFormat="1" applyFont="1" applyBorder="1"/>
    <xf numFmtId="184" fontId="3" fillId="0" borderId="48" xfId="836" applyNumberFormat="1" applyFont="1" applyBorder="1"/>
    <xf numFmtId="180" fontId="3" fillId="0" borderId="0" xfId="0" applyNumberFormat="1" applyFont="1"/>
    <xf numFmtId="185" fontId="3" fillId="0" borderId="0" xfId="950" applyNumberFormat="1" applyFont="1"/>
    <xf numFmtId="172" fontId="31" fillId="0" borderId="0" xfId="0" applyNumberFormat="1" applyFont="1" applyFill="1"/>
    <xf numFmtId="184" fontId="31" fillId="0" borderId="47" xfId="836" applyNumberFormat="1" applyFont="1" applyBorder="1"/>
    <xf numFmtId="184" fontId="31" fillId="0" borderId="48" xfId="836" applyNumberFormat="1" applyFont="1" applyBorder="1"/>
    <xf numFmtId="168" fontId="31" fillId="0" borderId="0" xfId="0" applyNumberFormat="1" applyFont="1"/>
    <xf numFmtId="0" fontId="69" fillId="94" borderId="50" xfId="0" applyFont="1" applyFill="1" applyBorder="1" applyAlignment="1">
      <alignment horizontal="center"/>
    </xf>
    <xf numFmtId="184" fontId="78" fillId="94" borderId="50" xfId="836" applyNumberFormat="1" applyFont="1" applyFill="1" applyBorder="1"/>
    <xf numFmtId="184" fontId="78" fillId="94" borderId="51" xfId="836" applyNumberFormat="1" applyFont="1" applyFill="1" applyBorder="1"/>
    <xf numFmtId="171" fontId="31" fillId="0" borderId="0" xfId="0" applyNumberFormat="1" applyFont="1" applyFill="1" applyBorder="1"/>
    <xf numFmtId="10" fontId="77" fillId="0" borderId="0" xfId="950" applyNumberFormat="1" applyFont="1" applyFill="1" applyBorder="1"/>
    <xf numFmtId="0" fontId="3" fillId="95" borderId="43" xfId="0" applyFont="1" applyFill="1" applyBorder="1"/>
    <xf numFmtId="49" fontId="3" fillId="95" borderId="44" xfId="836" applyNumberFormat="1" applyFont="1" applyFill="1" applyBorder="1" applyAlignment="1">
      <alignment horizontal="left"/>
    </xf>
    <xf numFmtId="167" fontId="3" fillId="95" borderId="45" xfId="836" applyNumberFormat="1" applyFont="1" applyFill="1" applyBorder="1"/>
    <xf numFmtId="0" fontId="3" fillId="95" borderId="46" xfId="0" applyFont="1" applyFill="1" applyBorder="1"/>
    <xf numFmtId="49" fontId="3" fillId="95" borderId="47" xfId="836" applyNumberFormat="1" applyFont="1" applyFill="1" applyBorder="1" applyAlignment="1">
      <alignment horizontal="left"/>
    </xf>
    <xf numFmtId="167" fontId="3" fillId="95" borderId="48" xfId="836" applyNumberFormat="1" applyFont="1" applyFill="1" applyBorder="1"/>
    <xf numFmtId="184" fontId="3" fillId="95" borderId="48" xfId="836" applyNumberFormat="1" applyFont="1" applyFill="1" applyBorder="1"/>
    <xf numFmtId="10" fontId="3" fillId="0" borderId="0" xfId="950" applyNumberFormat="1" applyFont="1" applyFill="1"/>
    <xf numFmtId="0" fontId="3" fillId="95" borderId="49" xfId="0" applyFont="1" applyFill="1" applyBorder="1"/>
    <xf numFmtId="49" fontId="3" fillId="95" borderId="50" xfId="836" applyNumberFormat="1" applyFont="1" applyFill="1" applyBorder="1" applyAlignment="1">
      <alignment horizontal="left"/>
    </xf>
    <xf numFmtId="184" fontId="3" fillId="95" borderId="51" xfId="836" applyNumberFormat="1" applyFont="1" applyFill="1" applyBorder="1"/>
    <xf numFmtId="49" fontId="78" fillId="94" borderId="43" xfId="836" applyNumberFormat="1" applyFont="1" applyFill="1" applyBorder="1" applyAlignment="1">
      <alignment horizontal="left"/>
    </xf>
    <xf numFmtId="10" fontId="77" fillId="0" borderId="0" xfId="0" applyNumberFormat="1" applyFont="1" applyFill="1"/>
    <xf numFmtId="0" fontId="3" fillId="0" borderId="47" xfId="0" applyFont="1" applyFill="1" applyBorder="1"/>
    <xf numFmtId="0" fontId="3" fillId="0" borderId="48" xfId="0" applyFont="1" applyFill="1" applyBorder="1"/>
    <xf numFmtId="167" fontId="3" fillId="0" borderId="0" xfId="0" applyNumberFormat="1" applyFont="1" applyFill="1"/>
    <xf numFmtId="171" fontId="3" fillId="0" borderId="0" xfId="0" applyNumberFormat="1" applyFont="1" applyFill="1" applyBorder="1"/>
    <xf numFmtId="168" fontId="77" fillId="0" borderId="0" xfId="0" applyNumberFormat="1" applyFont="1" applyFill="1"/>
    <xf numFmtId="172" fontId="31" fillId="0" borderId="0" xfId="0" applyNumberFormat="1" applyFont="1" applyFill="1" applyBorder="1"/>
    <xf numFmtId="0" fontId="69" fillId="94" borderId="49" xfId="0" applyFont="1" applyFill="1" applyBorder="1"/>
    <xf numFmtId="181" fontId="78" fillId="94" borderId="50" xfId="0" applyNumberFormat="1" applyFont="1" applyFill="1" applyBorder="1"/>
    <xf numFmtId="181" fontId="78" fillId="94" borderId="51" xfId="0" applyNumberFormat="1" applyFont="1" applyFill="1" applyBorder="1"/>
    <xf numFmtId="181" fontId="31" fillId="0" borderId="0" xfId="0" applyNumberFormat="1" applyFont="1"/>
    <xf numFmtId="167" fontId="3" fillId="0" borderId="0" xfId="828" applyNumberFormat="1" applyFont="1"/>
    <xf numFmtId="174" fontId="3" fillId="0" borderId="0" xfId="836" applyNumberFormat="1" applyFont="1" applyFill="1"/>
    <xf numFmtId="170" fontId="3" fillId="0" borderId="25" xfId="0" applyNumberFormat="1" applyFont="1" applyFill="1" applyBorder="1"/>
    <xf numFmtId="175" fontId="3" fillId="0" borderId="25" xfId="836" applyNumberFormat="1" applyFont="1" applyBorder="1"/>
    <xf numFmtId="170" fontId="3" fillId="0" borderId="0" xfId="0" applyNumberFormat="1" applyFont="1" applyFill="1" applyBorder="1"/>
    <xf numFmtId="183" fontId="3" fillId="0" borderId="0" xfId="0" applyNumberFormat="1" applyFont="1"/>
    <xf numFmtId="10" fontId="81" fillId="0" borderId="0" xfId="0" applyNumberFormat="1" applyFont="1" applyFill="1"/>
    <xf numFmtId="167" fontId="78" fillId="94" borderId="44" xfId="836" quotePrefix="1" applyNumberFormat="1" applyFont="1" applyFill="1" applyBorder="1" applyAlignment="1">
      <alignment horizontal="center" vertical="center"/>
    </xf>
    <xf numFmtId="167" fontId="78" fillId="94" borderId="45" xfId="836" quotePrefix="1" applyNumberFormat="1" applyFont="1" applyFill="1" applyBorder="1" applyAlignment="1">
      <alignment horizontal="center" vertical="center"/>
    </xf>
    <xf numFmtId="188" fontId="3" fillId="0" borderId="47" xfId="0" applyNumberFormat="1" applyFont="1" applyBorder="1" applyAlignment="1">
      <alignment horizontal="right"/>
    </xf>
    <xf numFmtId="188" fontId="3" fillId="0" borderId="48" xfId="0" applyNumberFormat="1" applyFont="1" applyBorder="1" applyAlignment="1">
      <alignment horizontal="right"/>
    </xf>
    <xf numFmtId="188" fontId="3" fillId="0" borderId="0" xfId="0" applyNumberFormat="1" applyFont="1"/>
    <xf numFmtId="0" fontId="82" fillId="0" borderId="0" xfId="0" applyFont="1" applyBorder="1"/>
    <xf numFmtId="0" fontId="54" fillId="0" borderId="0" xfId="0" applyFont="1" applyBorder="1"/>
    <xf numFmtId="168" fontId="54" fillId="0" borderId="0" xfId="0" applyNumberFormat="1" applyFont="1" applyBorder="1"/>
    <xf numFmtId="168" fontId="54" fillId="0" borderId="0" xfId="0" applyNumberFormat="1" applyFont="1" applyFill="1" applyBorder="1"/>
    <xf numFmtId="178" fontId="77" fillId="0" borderId="0" xfId="0" applyNumberFormat="1" applyFont="1" applyFill="1" applyBorder="1"/>
    <xf numFmtId="2" fontId="54" fillId="0" borderId="0" xfId="0" applyNumberFormat="1" applyFont="1" applyFill="1" applyBorder="1"/>
    <xf numFmtId="10" fontId="3" fillId="0" borderId="0" xfId="950" applyNumberFormat="1" applyFont="1" applyBorder="1"/>
    <xf numFmtId="10" fontId="54" fillId="0" borderId="0" xfId="0" applyNumberFormat="1" applyFont="1" applyFill="1" applyBorder="1"/>
    <xf numFmtId="0" fontId="54" fillId="0" borderId="0" xfId="0" quotePrefix="1" applyFont="1" applyBorder="1"/>
    <xf numFmtId="173" fontId="31" fillId="0" borderId="0" xfId="0" applyNumberFormat="1" applyFont="1" applyFill="1" applyBorder="1"/>
    <xf numFmtId="188" fontId="31" fillId="0" borderId="47" xfId="0" applyNumberFormat="1" applyFont="1" applyBorder="1" applyAlignment="1">
      <alignment horizontal="right"/>
    </xf>
    <xf numFmtId="0" fontId="31" fillId="0" borderId="0" xfId="0" applyFont="1" applyBorder="1"/>
    <xf numFmtId="168" fontId="3" fillId="0" borderId="0" xfId="0" applyNumberFormat="1" applyFont="1" applyBorder="1"/>
    <xf numFmtId="179" fontId="3" fillId="0" borderId="0" xfId="0" applyNumberFormat="1" applyFont="1" applyFill="1"/>
    <xf numFmtId="10" fontId="3" fillId="0" borderId="0" xfId="0" applyNumberFormat="1" applyFont="1" applyFill="1"/>
    <xf numFmtId="0" fontId="83" fillId="0" borderId="46" xfId="0" applyFont="1" applyBorder="1"/>
    <xf numFmtId="188" fontId="83" fillId="0" borderId="47" xfId="0" applyNumberFormat="1" applyFont="1" applyBorder="1" applyAlignment="1">
      <alignment horizontal="right"/>
    </xf>
    <xf numFmtId="0" fontId="31" fillId="0" borderId="49" xfId="0" applyFont="1" applyBorder="1"/>
    <xf numFmtId="188" fontId="31" fillId="0" borderId="50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Fill="1"/>
    <xf numFmtId="182" fontId="3" fillId="0" borderId="0" xfId="0" applyNumberFormat="1" applyFont="1" applyFill="1"/>
    <xf numFmtId="186" fontId="3" fillId="0" borderId="0" xfId="950" applyNumberFormat="1" applyFont="1" applyFill="1" applyBorder="1"/>
    <xf numFmtId="0" fontId="84" fillId="0" borderId="24" xfId="0" applyFont="1" applyBorder="1"/>
    <xf numFmtId="0" fontId="85" fillId="0" borderId="0" xfId="0" applyFont="1"/>
    <xf numFmtId="168" fontId="85" fillId="0" borderId="0" xfId="0" applyNumberFormat="1" applyFont="1"/>
    <xf numFmtId="168" fontId="85" fillId="0" borderId="0" xfId="0" applyNumberFormat="1" applyFont="1" applyFill="1"/>
    <xf numFmtId="0" fontId="85" fillId="0" borderId="0" xfId="0" applyFont="1" applyFill="1" applyBorder="1"/>
    <xf numFmtId="167" fontId="85" fillId="0" borderId="0" xfId="836" applyNumberFormat="1" applyFont="1"/>
    <xf numFmtId="187" fontId="85" fillId="0" borderId="0" xfId="0" applyNumberFormat="1" applyFont="1"/>
    <xf numFmtId="168" fontId="85" fillId="0" borderId="0" xfId="0" applyNumberFormat="1" applyFont="1" applyFill="1" applyBorder="1"/>
    <xf numFmtId="0" fontId="85" fillId="0" borderId="0" xfId="0" applyFont="1" applyFill="1"/>
    <xf numFmtId="0" fontId="84" fillId="0" borderId="0" xfId="0" applyFont="1"/>
    <xf numFmtId="168" fontId="84" fillId="0" borderId="0" xfId="0" applyNumberFormat="1" applyFont="1"/>
    <xf numFmtId="2" fontId="85" fillId="0" borderId="0" xfId="0" applyNumberFormat="1" applyFont="1" applyFill="1"/>
    <xf numFmtId="10" fontId="85" fillId="0" borderId="0" xfId="950" applyNumberFormat="1" applyFont="1"/>
    <xf numFmtId="2" fontId="85" fillId="0" borderId="0" xfId="950" applyNumberFormat="1" applyFont="1" applyFill="1"/>
    <xf numFmtId="10" fontId="85" fillId="0" borderId="0" xfId="950" applyNumberFormat="1" applyFont="1" applyFill="1" applyBorder="1"/>
    <xf numFmtId="49" fontId="0" fillId="0" borderId="0" xfId="0" applyNumberFormat="1"/>
    <xf numFmtId="3" fontId="4" fillId="0" borderId="0" xfId="903" applyNumberFormat="1" applyFont="1" applyAlignment="1">
      <alignment wrapText="1"/>
    </xf>
    <xf numFmtId="2" fontId="3" fillId="0" borderId="0" xfId="0" applyNumberFormat="1" applyFont="1"/>
    <xf numFmtId="0" fontId="86" fillId="0" borderId="0" xfId="0" applyFont="1"/>
    <xf numFmtId="0" fontId="88" fillId="0" borderId="53" xfId="0" applyFont="1" applyBorder="1"/>
    <xf numFmtId="3" fontId="88" fillId="0" borderId="0" xfId="0" applyNumberFormat="1" applyFont="1" applyAlignment="1">
      <alignment horizontal="right"/>
    </xf>
    <xf numFmtId="0" fontId="87" fillId="0" borderId="0" xfId="0" applyFont="1"/>
    <xf numFmtId="3" fontId="87" fillId="0" borderId="0" xfId="0" applyNumberFormat="1" applyFont="1" applyAlignment="1">
      <alignment horizontal="right"/>
    </xf>
    <xf numFmtId="0" fontId="87" fillId="0" borderId="53" xfId="0" applyFont="1" applyBorder="1"/>
    <xf numFmtId="186" fontId="88" fillId="0" borderId="0" xfId="0" applyNumberFormat="1" applyFont="1" applyAlignment="1">
      <alignment horizontal="center"/>
    </xf>
    <xf numFmtId="186" fontId="87" fillId="0" borderId="0" xfId="0" applyNumberFormat="1" applyFont="1" applyAlignment="1">
      <alignment horizontal="center"/>
    </xf>
    <xf numFmtId="0" fontId="88" fillId="0" borderId="0" xfId="0" applyFont="1" applyAlignment="1">
      <alignment horizontal="center"/>
    </xf>
    <xf numFmtId="10" fontId="88" fillId="0" borderId="0" xfId="0" applyNumberFormat="1" applyFont="1" applyAlignment="1">
      <alignment horizontal="right"/>
    </xf>
    <xf numFmtId="186" fontId="88" fillId="0" borderId="0" xfId="0" applyNumberFormat="1" applyFont="1" applyAlignment="1">
      <alignment horizontal="right"/>
    </xf>
    <xf numFmtId="3" fontId="88" fillId="0" borderId="55" xfId="0" applyNumberFormat="1" applyFont="1" applyBorder="1" applyAlignment="1">
      <alignment horizontal="right"/>
    </xf>
    <xf numFmtId="186" fontId="88" fillId="0" borderId="55" xfId="0" applyNumberFormat="1" applyFont="1" applyBorder="1" applyAlignment="1">
      <alignment horizontal="right"/>
    </xf>
    <xf numFmtId="0" fontId="87" fillId="0" borderId="57" xfId="0" applyFont="1" applyBorder="1" applyAlignment="1">
      <alignment horizontal="center"/>
    </xf>
    <xf numFmtId="0" fontId="88" fillId="0" borderId="0" xfId="0" applyFont="1" applyAlignment="1">
      <alignment horizontal="right"/>
    </xf>
    <xf numFmtId="0" fontId="88" fillId="0" borderId="0" xfId="0" applyFont="1" applyAlignment="1"/>
    <xf numFmtId="0" fontId="87" fillId="0" borderId="0" xfId="0" applyFont="1" applyAlignment="1"/>
    <xf numFmtId="3" fontId="87" fillId="0" borderId="0" xfId="0" applyNumberFormat="1" applyFont="1" applyAlignment="1"/>
    <xf numFmtId="0" fontId="87" fillId="0" borderId="57" xfId="0" applyFont="1" applyBorder="1" applyAlignment="1"/>
    <xf numFmtId="0" fontId="88" fillId="0" borderId="53" xfId="0" applyFont="1" applyBorder="1" applyAlignment="1">
      <alignment horizontal="center"/>
    </xf>
    <xf numFmtId="3" fontId="88" fillId="0" borderId="53" xfId="0" applyNumberFormat="1" applyFont="1" applyBorder="1" applyAlignment="1">
      <alignment horizontal="right"/>
    </xf>
    <xf numFmtId="0" fontId="90" fillId="0" borderId="0" xfId="0" applyFont="1"/>
    <xf numFmtId="0" fontId="91" fillId="0" borderId="0" xfId="0" applyFont="1"/>
    <xf numFmtId="0" fontId="91" fillId="0" borderId="0" xfId="0" applyFont="1" applyAlignment="1">
      <alignment horizontal="justify"/>
    </xf>
    <xf numFmtId="49" fontId="92" fillId="0" borderId="0" xfId="0" applyNumberFormat="1" applyFont="1"/>
    <xf numFmtId="0" fontId="75" fillId="73" borderId="39" xfId="0" applyFont="1" applyFill="1" applyBorder="1" applyAlignment="1">
      <alignment horizontal="center" vertical="center"/>
    </xf>
    <xf numFmtId="0" fontId="87" fillId="0" borderId="53" xfId="0" applyFont="1" applyBorder="1" applyAlignment="1">
      <alignment horizontal="center"/>
    </xf>
    <xf numFmtId="0" fontId="93" fillId="0" borderId="0" xfId="0" applyFont="1" applyAlignment="1">
      <alignment horizontal="left" indent="2"/>
    </xf>
    <xf numFmtId="0" fontId="94" fillId="0" borderId="0" xfId="0" applyFont="1"/>
    <xf numFmtId="0" fontId="88" fillId="0" borderId="0" xfId="0" applyFont="1"/>
    <xf numFmtId="186" fontId="88" fillId="0" borderId="58" xfId="0" applyNumberFormat="1" applyFont="1" applyBorder="1" applyAlignment="1">
      <alignment horizontal="right"/>
    </xf>
    <xf numFmtId="0" fontId="93" fillId="0" borderId="0" xfId="0" applyFont="1" applyAlignment="1">
      <alignment horizontal="justify"/>
    </xf>
    <xf numFmtId="3" fontId="70" fillId="0" borderId="0" xfId="0" applyNumberFormat="1" applyFont="1"/>
    <xf numFmtId="186" fontId="94" fillId="0" borderId="0" xfId="0" applyNumberFormat="1" applyFont="1"/>
    <xf numFmtId="0" fontId="32" fillId="73" borderId="29" xfId="0" applyFont="1" applyFill="1" applyBorder="1" applyAlignment="1">
      <alignment horizontal="left" vertical="center" indent="2"/>
    </xf>
    <xf numFmtId="0" fontId="32" fillId="73" borderId="29" xfId="0" applyFont="1" applyFill="1" applyBorder="1" applyAlignment="1">
      <alignment horizontal="center" vertical="center"/>
    </xf>
    <xf numFmtId="189" fontId="32" fillId="73" borderId="29" xfId="0" applyNumberFormat="1" applyFont="1" applyFill="1" applyBorder="1" applyAlignment="1">
      <alignment horizontal="center" vertical="center"/>
    </xf>
    <xf numFmtId="0" fontId="32" fillId="73" borderId="29" xfId="0" applyFont="1" applyFill="1" applyBorder="1" applyAlignment="1">
      <alignment horizontal="left" vertical="center" indent="3"/>
    </xf>
    <xf numFmtId="0" fontId="33" fillId="73" borderId="29" xfId="0" applyFont="1" applyFill="1" applyBorder="1" applyAlignment="1">
      <alignment horizontal="left" vertical="center" indent="3"/>
    </xf>
    <xf numFmtId="3" fontId="32" fillId="73" borderId="29" xfId="0" applyNumberFormat="1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left" vertical="center" indent="3"/>
    </xf>
    <xf numFmtId="3" fontId="33" fillId="0" borderId="29" xfId="0" applyNumberFormat="1" applyFont="1" applyFill="1" applyBorder="1" applyAlignment="1">
      <alignment vertical="center"/>
    </xf>
    <xf numFmtId="0" fontId="33" fillId="0" borderId="29" xfId="0" applyFont="1" applyFill="1" applyBorder="1" applyAlignment="1">
      <alignment horizontal="center" vertical="center"/>
    </xf>
    <xf numFmtId="49" fontId="33" fillId="0" borderId="29" xfId="0" applyNumberFormat="1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left" vertical="top" wrapText="1" indent="3"/>
    </xf>
    <xf numFmtId="0" fontId="33" fillId="73" borderId="29" xfId="0" applyFont="1" applyFill="1" applyBorder="1" applyAlignment="1">
      <alignment vertical="center"/>
    </xf>
    <xf numFmtId="0" fontId="33" fillId="73" borderId="29" xfId="0" applyFont="1" applyFill="1" applyBorder="1" applyAlignment="1">
      <alignment horizontal="center" vertical="center"/>
    </xf>
    <xf numFmtId="3" fontId="33" fillId="73" borderId="29" xfId="0" applyNumberFormat="1" applyFont="1" applyFill="1" applyBorder="1" applyAlignment="1">
      <alignment vertical="center"/>
    </xf>
    <xf numFmtId="0" fontId="33" fillId="0" borderId="29" xfId="0" applyFont="1" applyFill="1" applyBorder="1" applyAlignment="1">
      <alignment horizontal="left" vertical="center" indent="2"/>
    </xf>
    <xf numFmtId="0" fontId="33" fillId="0" borderId="36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left" vertical="center" wrapText="1" indent="2"/>
    </xf>
    <xf numFmtId="3" fontId="33" fillId="0" borderId="31" xfId="0" applyNumberFormat="1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2" fillId="73" borderId="29" xfId="0" applyFont="1" applyFill="1" applyBorder="1" applyAlignment="1">
      <alignment horizontal="left" vertical="center" wrapText="1" indent="3"/>
    </xf>
    <xf numFmtId="3" fontId="32" fillId="73" borderId="29" xfId="0" applyNumberFormat="1" applyFont="1" applyFill="1" applyBorder="1" applyAlignment="1">
      <alignment vertical="center"/>
    </xf>
    <xf numFmtId="0" fontId="32" fillId="0" borderId="29" xfId="0" applyFont="1" applyFill="1" applyBorder="1" applyAlignment="1">
      <alignment horizontal="left" vertical="center" indent="3"/>
    </xf>
    <xf numFmtId="4" fontId="33" fillId="0" borderId="29" xfId="0" applyNumberFormat="1" applyFont="1" applyFill="1" applyBorder="1" applyAlignment="1">
      <alignment vertical="center"/>
    </xf>
    <xf numFmtId="4" fontId="32" fillId="73" borderId="29" xfId="0" applyNumberFormat="1" applyFont="1" applyFill="1" applyBorder="1" applyAlignment="1">
      <alignment vertical="center"/>
    </xf>
    <xf numFmtId="0" fontId="94" fillId="0" borderId="0" xfId="0" applyFont="1"/>
    <xf numFmtId="2" fontId="88" fillId="0" borderId="0" xfId="0" applyNumberFormat="1" applyFont="1" applyAlignment="1">
      <alignment horizontal="right"/>
    </xf>
    <xf numFmtId="49" fontId="94" fillId="0" borderId="0" xfId="0" applyNumberFormat="1" applyFont="1"/>
    <xf numFmtId="186" fontId="87" fillId="0" borderId="0" xfId="0" applyNumberFormat="1" applyFont="1" applyAlignment="1">
      <alignment horizontal="right"/>
    </xf>
    <xf numFmtId="0" fontId="94" fillId="0" borderId="53" xfId="0" applyFont="1" applyBorder="1" applyAlignment="1"/>
    <xf numFmtId="0" fontId="87" fillId="0" borderId="56" xfId="0" applyFont="1" applyBorder="1" applyAlignment="1"/>
    <xf numFmtId="3" fontId="0" fillId="0" borderId="0" xfId="0" applyNumberFormat="1"/>
    <xf numFmtId="9" fontId="0" fillId="0" borderId="0" xfId="950" applyFont="1"/>
    <xf numFmtId="0" fontId="95" fillId="0" borderId="0" xfId="0" applyFont="1"/>
    <xf numFmtId="9" fontId="95" fillId="0" borderId="0" xfId="950" applyFont="1"/>
    <xf numFmtId="3" fontId="95" fillId="0" borderId="0" xfId="0" applyNumberFormat="1" applyFont="1"/>
    <xf numFmtId="9" fontId="95" fillId="0" borderId="0" xfId="950" applyNumberFormat="1" applyFont="1"/>
    <xf numFmtId="3" fontId="4" fillId="96" borderId="0" xfId="903" applyNumberFormat="1" applyFont="1" applyFill="1"/>
    <xf numFmtId="184" fontId="3" fillId="0" borderId="59" xfId="836" applyNumberFormat="1" applyFont="1" applyFill="1" applyBorder="1"/>
    <xf numFmtId="3" fontId="33" fillId="0" borderId="0" xfId="0" applyNumberFormat="1" applyFont="1" applyAlignment="1">
      <alignment vertical="center"/>
    </xf>
    <xf numFmtId="49" fontId="78" fillId="94" borderId="0" xfId="836" applyNumberFormat="1" applyFont="1" applyFill="1" applyBorder="1" applyAlignment="1">
      <alignment horizontal="center"/>
    </xf>
    <xf numFmtId="184" fontId="3" fillId="0" borderId="0" xfId="836" applyNumberFormat="1" applyFont="1" applyFill="1" applyBorder="1"/>
    <xf numFmtId="184" fontId="31" fillId="0" borderId="0" xfId="836" applyNumberFormat="1" applyFont="1" applyFill="1" applyBorder="1"/>
    <xf numFmtId="167" fontId="78" fillId="94" borderId="0" xfId="836" quotePrefix="1" applyNumberFormat="1" applyFont="1" applyFill="1" applyBorder="1" applyAlignment="1">
      <alignment horizontal="center"/>
    </xf>
    <xf numFmtId="184" fontId="31" fillId="0" borderId="0" xfId="836" applyNumberFormat="1" applyFont="1" applyBorder="1"/>
    <xf numFmtId="184" fontId="78" fillId="94" borderId="0" xfId="836" applyNumberFormat="1" applyFont="1" applyFill="1" applyBorder="1"/>
    <xf numFmtId="181" fontId="33" fillId="0" borderId="0" xfId="0" applyNumberFormat="1" applyFont="1"/>
    <xf numFmtId="0" fontId="87" fillId="0" borderId="53" xfId="0" applyFont="1" applyBorder="1" applyAlignment="1">
      <alignment horizontal="center"/>
    </xf>
    <xf numFmtId="0" fontId="87" fillId="0" borderId="0" xfId="0" applyFont="1" applyAlignment="1">
      <alignment horizontal="center"/>
    </xf>
    <xf numFmtId="17" fontId="87" fillId="0" borderId="53" xfId="0" applyNumberFormat="1" applyFont="1" applyBorder="1" applyAlignment="1">
      <alignment horizontal="center"/>
    </xf>
    <xf numFmtId="184" fontId="3" fillId="0" borderId="56" xfId="836" applyNumberFormat="1" applyFont="1" applyFill="1" applyBorder="1"/>
    <xf numFmtId="186" fontId="33" fillId="0" borderId="0" xfId="950" applyNumberFormat="1" applyFont="1" applyAlignment="1"/>
    <xf numFmtId="3" fontId="88" fillId="0" borderId="0" xfId="0" applyNumberFormat="1" applyFont="1" applyAlignment="1">
      <alignment horizontal="right" vertical="center"/>
    </xf>
    <xf numFmtId="3" fontId="88" fillId="0" borderId="55" xfId="0" applyNumberFormat="1" applyFont="1" applyBorder="1" applyAlignment="1">
      <alignment horizontal="right" vertical="center"/>
    </xf>
    <xf numFmtId="0" fontId="87" fillId="0" borderId="53" xfId="0" applyFont="1" applyBorder="1" applyAlignment="1">
      <alignment horizontal="right" vertical="center"/>
    </xf>
    <xf numFmtId="10" fontId="88" fillId="0" borderId="0" xfId="0" applyNumberFormat="1" applyFont="1" applyAlignment="1">
      <alignment horizontal="right" vertical="center"/>
    </xf>
    <xf numFmtId="0" fontId="88" fillId="0" borderId="0" xfId="0" applyFont="1" applyAlignment="1">
      <alignment horizontal="right" vertical="center"/>
    </xf>
    <xf numFmtId="0" fontId="87" fillId="0" borderId="0" xfId="0" applyFont="1" applyAlignment="1">
      <alignment horizontal="center"/>
    </xf>
    <xf numFmtId="186" fontId="88" fillId="0" borderId="0" xfId="0" applyNumberFormat="1" applyFont="1" applyAlignment="1">
      <alignment horizontal="right" vertical="center"/>
    </xf>
    <xf numFmtId="0" fontId="87" fillId="0" borderId="53" xfId="0" applyFont="1" applyBorder="1" applyAlignment="1">
      <alignment horizontal="center"/>
    </xf>
    <xf numFmtId="0" fontId="87" fillId="0" borderId="54" xfId="0" applyFont="1" applyBorder="1" applyAlignment="1">
      <alignment horizontal="center"/>
    </xf>
    <xf numFmtId="0" fontId="87" fillId="0" borderId="0" xfId="0" applyFont="1" applyAlignment="1">
      <alignment horizontal="center"/>
    </xf>
    <xf numFmtId="0" fontId="72" fillId="73" borderId="27" xfId="0" applyFont="1" applyFill="1" applyBorder="1" applyAlignment="1">
      <alignment horizontal="left" vertical="top"/>
    </xf>
    <xf numFmtId="0" fontId="72" fillId="73" borderId="28" xfId="0" applyFont="1" applyFill="1" applyBorder="1" applyAlignment="1">
      <alignment horizontal="left" vertical="top"/>
    </xf>
    <xf numFmtId="0" fontId="72" fillId="73" borderId="27" xfId="0" applyFont="1" applyFill="1" applyBorder="1" applyAlignment="1">
      <alignment horizontal="center" vertical="top"/>
    </xf>
    <xf numFmtId="0" fontId="72" fillId="73" borderId="28" xfId="0" applyFont="1" applyFill="1" applyBorder="1" applyAlignment="1">
      <alignment horizontal="center" vertical="top"/>
    </xf>
    <xf numFmtId="0" fontId="72" fillId="0" borderId="36" xfId="0" applyFont="1" applyFill="1" applyBorder="1" applyAlignment="1">
      <alignment horizontal="left" vertical="center"/>
    </xf>
    <xf numFmtId="0" fontId="72" fillId="0" borderId="31" xfId="0" applyFont="1" applyFill="1" applyBorder="1" applyAlignment="1">
      <alignment horizontal="left" vertical="center"/>
    </xf>
    <xf numFmtId="0" fontId="75" fillId="73" borderId="27" xfId="0" applyFont="1" applyFill="1" applyBorder="1" applyAlignment="1">
      <alignment horizontal="left" vertical="center"/>
    </xf>
    <xf numFmtId="0" fontId="75" fillId="73" borderId="28" xfId="0" applyFont="1" applyFill="1" applyBorder="1" applyAlignment="1">
      <alignment horizontal="left" vertical="center"/>
    </xf>
    <xf numFmtId="0" fontId="75" fillId="73" borderId="40" xfId="0" applyFont="1" applyFill="1" applyBorder="1" applyAlignment="1">
      <alignment horizontal="center" vertical="center"/>
    </xf>
    <xf numFmtId="0" fontId="75" fillId="73" borderId="39" xfId="0" applyFont="1" applyFill="1" applyBorder="1" applyAlignment="1">
      <alignment horizontal="center" vertical="center"/>
    </xf>
    <xf numFmtId="0" fontId="75" fillId="0" borderId="36" xfId="0" applyFont="1" applyFill="1" applyBorder="1" applyAlignment="1">
      <alignment horizontal="left" vertical="center" indent="1"/>
    </xf>
    <xf numFmtId="0" fontId="75" fillId="0" borderId="31" xfId="0" applyFont="1" applyFill="1" applyBorder="1" applyAlignment="1">
      <alignment horizontal="left" vertical="center" indent="1"/>
    </xf>
    <xf numFmtId="0" fontId="75" fillId="0" borderId="32" xfId="0" applyFont="1" applyFill="1" applyBorder="1" applyAlignment="1">
      <alignment horizontal="left" vertical="center" indent="1"/>
    </xf>
    <xf numFmtId="0" fontId="75" fillId="0" borderId="36" xfId="0" applyFont="1" applyFill="1" applyBorder="1" applyAlignment="1">
      <alignment horizontal="left" vertical="center" wrapText="1" indent="1"/>
    </xf>
    <xf numFmtId="0" fontId="75" fillId="0" borderId="31" xfId="0" applyFont="1" applyFill="1" applyBorder="1" applyAlignment="1">
      <alignment horizontal="left" vertical="center" wrapText="1" indent="1"/>
    </xf>
    <xf numFmtId="0" fontId="75" fillId="0" borderId="32" xfId="0" applyFont="1" applyFill="1" applyBorder="1" applyAlignment="1">
      <alignment horizontal="left" vertical="center" wrapText="1" inden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31" xfId="0" applyFont="1" applyFill="1" applyBorder="1" applyAlignment="1">
      <alignment horizontal="center" vertical="center" wrapText="1"/>
    </xf>
    <xf numFmtId="0" fontId="75" fillId="0" borderId="32" xfId="0" applyFont="1" applyFill="1" applyBorder="1" applyAlignment="1">
      <alignment horizontal="center" vertical="center" wrapText="1"/>
    </xf>
    <xf numFmtId="0" fontId="71" fillId="0" borderId="36" xfId="0" applyFont="1" applyFill="1" applyBorder="1" applyAlignment="1">
      <alignment horizontal="center" vertical="center" wrapText="1"/>
    </xf>
    <xf numFmtId="0" fontId="71" fillId="0" borderId="31" xfId="0" applyFont="1" applyFill="1" applyBorder="1" applyAlignment="1">
      <alignment horizontal="center" vertical="center" wrapText="1"/>
    </xf>
    <xf numFmtId="0" fontId="71" fillId="0" borderId="32" xfId="0" applyFont="1" applyFill="1" applyBorder="1" applyAlignment="1">
      <alignment horizontal="center" vertical="center" wrapText="1"/>
    </xf>
    <xf numFmtId="191" fontId="75" fillId="0" borderId="41" xfId="840" applyNumberFormat="1" applyFont="1" applyFill="1" applyBorder="1" applyAlignment="1">
      <alignment horizontal="center" vertical="center" wrapText="1"/>
    </xf>
    <xf numFmtId="191" fontId="75" fillId="0" borderId="38" xfId="840" applyNumberFormat="1" applyFont="1" applyFill="1" applyBorder="1" applyAlignment="1">
      <alignment horizontal="center" vertical="center" wrapText="1"/>
    </xf>
    <xf numFmtId="191" fontId="75" fillId="0" borderId="40" xfId="840" applyNumberFormat="1" applyFont="1" applyFill="1" applyBorder="1" applyAlignment="1">
      <alignment horizontal="center" vertical="center" wrapText="1"/>
    </xf>
    <xf numFmtId="0" fontId="75" fillId="0" borderId="36" xfId="0" applyFont="1" applyFill="1" applyBorder="1" applyAlignment="1" applyProtection="1">
      <alignment horizontal="left" wrapText="1"/>
    </xf>
    <xf numFmtId="0" fontId="75" fillId="0" borderId="31" xfId="0" applyFont="1" applyFill="1" applyBorder="1" applyAlignment="1" applyProtection="1">
      <alignment horizontal="left" wrapText="1"/>
    </xf>
    <xf numFmtId="0" fontId="75" fillId="0" borderId="32" xfId="0" applyFont="1" applyFill="1" applyBorder="1" applyAlignment="1" applyProtection="1">
      <alignment horizontal="left" wrapText="1"/>
    </xf>
    <xf numFmtId="0" fontId="87" fillId="0" borderId="53" xfId="0" applyFont="1" applyBorder="1" applyAlignment="1">
      <alignment vertical="center"/>
    </xf>
    <xf numFmtId="0" fontId="88" fillId="0" borderId="0" xfId="0" applyFont="1" applyAlignment="1">
      <alignment vertical="center"/>
    </xf>
    <xf numFmtId="0" fontId="1" fillId="0" borderId="0" xfId="0" applyFont="1"/>
    <xf numFmtId="0" fontId="87" fillId="0" borderId="0" xfId="0" applyFont="1" applyAlignment="1">
      <alignment vertical="center"/>
    </xf>
    <xf numFmtId="0" fontId="88" fillId="0" borderId="0" xfId="0" applyFont="1" applyAlignment="1">
      <alignment horizontal="center" vertical="center"/>
    </xf>
    <xf numFmtId="0" fontId="88" fillId="0" borderId="0" xfId="0" applyFont="1" applyAlignment="1">
      <alignment vertical="center" wrapText="1"/>
    </xf>
    <xf numFmtId="0" fontId="87" fillId="0" borderId="53" xfId="0" applyFont="1" applyBorder="1" applyAlignment="1">
      <alignment horizontal="center" vertical="center"/>
    </xf>
    <xf numFmtId="0" fontId="88" fillId="0" borderId="53" xfId="0" applyFont="1" applyBorder="1" applyAlignment="1">
      <alignment vertical="center"/>
    </xf>
    <xf numFmtId="0" fontId="87" fillId="0" borderId="0" xfId="0" applyFont="1" applyAlignment="1">
      <alignment horizontal="center" vertical="center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</cellXfs>
  <cellStyles count="1697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1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illares_Analisis Razonado diciemb 08" xfId="836"/>
    <cellStyle name="Moneda [0] 2 2" xfId="837"/>
    <cellStyle name="Moneda 2" xfId="838"/>
    <cellStyle name="Moneda 2 2" xfId="839"/>
    <cellStyle name="Moneda 2 3" xfId="840"/>
    <cellStyle name="Nag?ówek 1" xfId="841"/>
    <cellStyle name="Nag?ówek 2" xfId="842"/>
    <cellStyle name="Nag?ówek 3" xfId="843"/>
    <cellStyle name="Nag?ówek 4" xfId="844"/>
    <cellStyle name="Nagłówek 1" xfId="845"/>
    <cellStyle name="Nagłówek 2" xfId="846"/>
    <cellStyle name="Nagłówek 3" xfId="847"/>
    <cellStyle name="Nagłówek 4" xfId="848"/>
    <cellStyle name="Neutral" xfId="849" builtinId="28" customBuiltin="1"/>
    <cellStyle name="Neutral 2" xfId="850"/>
    <cellStyle name="Neutral 2 2" xfId="851"/>
    <cellStyle name="Neutral 2 3" xfId="852"/>
    <cellStyle name="Neutral 2 4" xfId="853"/>
    <cellStyle name="Neutral 2 5" xfId="854"/>
    <cellStyle name="Neutral 2 6" xfId="855"/>
    <cellStyle name="Neutral 3" xfId="856"/>
    <cellStyle name="Neutral 3 2" xfId="857"/>
    <cellStyle name="Neutral 3 3" xfId="858"/>
    <cellStyle name="Neutral 3 4" xfId="859"/>
    <cellStyle name="Neutral 3 5" xfId="860"/>
    <cellStyle name="Neutral 4" xfId="861"/>
    <cellStyle name="Neutral 4 2" xfId="862"/>
    <cellStyle name="Neutral 4 3" xfId="863"/>
    <cellStyle name="Neutral 4 4" xfId="864"/>
    <cellStyle name="Neutral 4 5" xfId="865"/>
    <cellStyle name="Neutral 5" xfId="866"/>
    <cellStyle name="Neutral 5 2" xfId="867"/>
    <cellStyle name="Neutral 5 3" xfId="868"/>
    <cellStyle name="Neutral 5 4" xfId="869"/>
    <cellStyle name="Neutral 5 5" xfId="870"/>
    <cellStyle name="Neutral 6" xfId="871"/>
    <cellStyle name="Neutral 6 2" xfId="872"/>
    <cellStyle name="Neutral 7" xfId="873"/>
    <cellStyle name="Neutral 8" xfId="874"/>
    <cellStyle name="Neutral 9" xfId="875"/>
    <cellStyle name="Neutralne" xfId="876"/>
    <cellStyle name="Normal" xfId="0" builtinId="0"/>
    <cellStyle name="Normal 10" xfId="877"/>
    <cellStyle name="Normal 10 2" xfId="878"/>
    <cellStyle name="Normal 11" xfId="879"/>
    <cellStyle name="Normal 11 2" xfId="880"/>
    <cellStyle name="Normal 12" xfId="881"/>
    <cellStyle name="Normal 12 2" xfId="882"/>
    <cellStyle name="Normal 13" xfId="883"/>
    <cellStyle name="Normal 13 2" xfId="884"/>
    <cellStyle name="Normal 14" xfId="885"/>
    <cellStyle name="Normal 15" xfId="886"/>
    <cellStyle name="Normal 15 2" xfId="887"/>
    <cellStyle name="Normal 17" xfId="888"/>
    <cellStyle name="Normal 2" xfId="889"/>
    <cellStyle name="Normal 2 10" xfId="890"/>
    <cellStyle name="Normal 2 11" xfId="891"/>
    <cellStyle name="Normal 2 12" xfId="892"/>
    <cellStyle name="Normal 2 2" xfId="893"/>
    <cellStyle name="Normal 2 2 2" xfId="894"/>
    <cellStyle name="Normal 2 3" xfId="895"/>
    <cellStyle name="Normal 2 4" xfId="896"/>
    <cellStyle name="Normal 2 5" xfId="897"/>
    <cellStyle name="Normal 2 6" xfId="898"/>
    <cellStyle name="Normal 2 7" xfId="899"/>
    <cellStyle name="Normal 2 8" xfId="900"/>
    <cellStyle name="Normal 2 9" xfId="901"/>
    <cellStyle name="Normal 2_Combinación de negocios - AA-IAMv3" xfId="902"/>
    <cellStyle name="Normal 3" xfId="903"/>
    <cellStyle name="Normal 3 2" xfId="904"/>
    <cellStyle name="Normal 4" xfId="905"/>
    <cellStyle name="Normal 5" xfId="906"/>
    <cellStyle name="Normal 6" xfId="907"/>
    <cellStyle name="Normal 6 2" xfId="908"/>
    <cellStyle name="Normal 7" xfId="909"/>
    <cellStyle name="Normal 8" xfId="910"/>
    <cellStyle name="Normal 9" xfId="911"/>
    <cellStyle name="Notas" xfId="912" builtinId="10" customBuiltin="1"/>
    <cellStyle name="Notas 10" xfId="913"/>
    <cellStyle name="Notas 2" xfId="914"/>
    <cellStyle name="Notas 2 2" xfId="915"/>
    <cellStyle name="Notas 2 3" xfId="916"/>
    <cellStyle name="Notas 2 4" xfId="917"/>
    <cellStyle name="Notas 2 5" xfId="918"/>
    <cellStyle name="Notas 2 6" xfId="919"/>
    <cellStyle name="Notas 3" xfId="920"/>
    <cellStyle name="Notas 3 2" xfId="921"/>
    <cellStyle name="Notas 3 3" xfId="922"/>
    <cellStyle name="Notas 3 4" xfId="923"/>
    <cellStyle name="Notas 3 5" xfId="924"/>
    <cellStyle name="Notas 4" xfId="925"/>
    <cellStyle name="Notas 4 2" xfId="926"/>
    <cellStyle name="Notas 4 3" xfId="927"/>
    <cellStyle name="Notas 4 4" xfId="928"/>
    <cellStyle name="Notas 4 5" xfId="929"/>
    <cellStyle name="Notas 5" xfId="930"/>
    <cellStyle name="Notas 5 2" xfId="931"/>
    <cellStyle name="Notas 5 3" xfId="932"/>
    <cellStyle name="Notas 5 4" xfId="933"/>
    <cellStyle name="Notas 5 5" xfId="934"/>
    <cellStyle name="Notas 6" xfId="935"/>
    <cellStyle name="Notas 6 2" xfId="936"/>
    <cellStyle name="Notas 7" xfId="937"/>
    <cellStyle name="Notas 8" xfId="938"/>
    <cellStyle name="Notas 9" xfId="939"/>
    <cellStyle name="Note" xfId="940"/>
    <cellStyle name="Note 2" xfId="941"/>
    <cellStyle name="Note 3" xfId="942"/>
    <cellStyle name="Note 4" xfId="943"/>
    <cellStyle name="Note 5" xfId="944"/>
    <cellStyle name="Note 6" xfId="945"/>
    <cellStyle name="Note 7" xfId="946"/>
    <cellStyle name="Note 8" xfId="947"/>
    <cellStyle name="Obliczenia" xfId="948"/>
    <cellStyle name="Output" xfId="949"/>
    <cellStyle name="Porcentaje" xfId="950" builtinId="5"/>
    <cellStyle name="Porcentual 10" xfId="951"/>
    <cellStyle name="Porcentual 10 2" xfId="952"/>
    <cellStyle name="Porcentual 11" xfId="953"/>
    <cellStyle name="Porcentual 11 2" xfId="954"/>
    <cellStyle name="Porcentual 2" xfId="955"/>
    <cellStyle name="Porcentual 2 2" xfId="956"/>
    <cellStyle name="Porcentual 3" xfId="957"/>
    <cellStyle name="Porcentual 4" xfId="958"/>
    <cellStyle name="Porcentual 4 2" xfId="959"/>
    <cellStyle name="Porcentual 5" xfId="960"/>
    <cellStyle name="Porcentual 5 2" xfId="961"/>
    <cellStyle name="Porcentual 6" xfId="962"/>
    <cellStyle name="Porcentual 7" xfId="963"/>
    <cellStyle name="Porcentual 7 2" xfId="964"/>
    <cellStyle name="Porcentual 8" xfId="965"/>
    <cellStyle name="Porcentual 8 2" xfId="966"/>
    <cellStyle name="Porcentual 9" xfId="967"/>
    <cellStyle name="Salida" xfId="968" builtinId="21" customBuiltin="1"/>
    <cellStyle name="Salida 2" xfId="969"/>
    <cellStyle name="Salida 2 2" xfId="970"/>
    <cellStyle name="Salida 2 3" xfId="971"/>
    <cellStyle name="Salida 2 4" xfId="972"/>
    <cellStyle name="Salida 2 5" xfId="973"/>
    <cellStyle name="Salida 2 6" xfId="974"/>
    <cellStyle name="Salida 3" xfId="975"/>
    <cellStyle name="Salida 3 2" xfId="976"/>
    <cellStyle name="Salida 3 3" xfId="977"/>
    <cellStyle name="Salida 3 4" xfId="978"/>
    <cellStyle name="Salida 3 5" xfId="979"/>
    <cellStyle name="Salida 4" xfId="980"/>
    <cellStyle name="Salida 4 2" xfId="981"/>
    <cellStyle name="Salida 4 3" xfId="982"/>
    <cellStyle name="Salida 4 4" xfId="983"/>
    <cellStyle name="Salida 4 5" xfId="984"/>
    <cellStyle name="Salida 5" xfId="985"/>
    <cellStyle name="Salida 5 2" xfId="986"/>
    <cellStyle name="Salida 5 3" xfId="987"/>
    <cellStyle name="Salida 5 4" xfId="988"/>
    <cellStyle name="Salida 5 5" xfId="989"/>
    <cellStyle name="Salida 6" xfId="990"/>
    <cellStyle name="Salida 6 2" xfId="991"/>
    <cellStyle name="Salida 7" xfId="992"/>
    <cellStyle name="Salida 8" xfId="993"/>
    <cellStyle name="Salida 9" xfId="994"/>
    <cellStyle name="SAPBEXaggData" xfId="995"/>
    <cellStyle name="SAPBEXaggData 10" xfId="996"/>
    <cellStyle name="SAPBEXaggData 11" xfId="997"/>
    <cellStyle name="SAPBEXaggData 2" xfId="998"/>
    <cellStyle name="SAPBEXaggData 2 2" xfId="999"/>
    <cellStyle name="SAPBEXaggData 2 2 2" xfId="1000"/>
    <cellStyle name="SAPBEXaggData 3" xfId="1001"/>
    <cellStyle name="SAPBEXaggData 4" xfId="1002"/>
    <cellStyle name="SAPBEXaggData 5" xfId="1003"/>
    <cellStyle name="SAPBEXaggData 6" xfId="1004"/>
    <cellStyle name="SAPBEXaggData 7" xfId="1005"/>
    <cellStyle name="SAPBEXaggData 8" xfId="1006"/>
    <cellStyle name="SAPBEXaggData 9" xfId="1007"/>
    <cellStyle name="SAPBEXaggData_gxaccion, 68" xfId="1008"/>
    <cellStyle name="SAPBEXaggDataEmph" xfId="1009"/>
    <cellStyle name="SAPBEXaggDataEmph 10" xfId="1010"/>
    <cellStyle name="SAPBEXaggDataEmph 11" xfId="1011"/>
    <cellStyle name="SAPBEXaggDataEmph 2" xfId="1012"/>
    <cellStyle name="SAPBEXaggDataEmph 2 2" xfId="1013"/>
    <cellStyle name="SAPBEXaggDataEmph 2 2 2" xfId="1014"/>
    <cellStyle name="SAPBEXaggDataEmph 3" xfId="1015"/>
    <cellStyle name="SAPBEXaggDataEmph 4" xfId="1016"/>
    <cellStyle name="SAPBEXaggDataEmph 5" xfId="1017"/>
    <cellStyle name="SAPBEXaggDataEmph 6" xfId="1018"/>
    <cellStyle name="SAPBEXaggDataEmph 7" xfId="1019"/>
    <cellStyle name="SAPBEXaggDataEmph 8" xfId="1020"/>
    <cellStyle name="SAPBEXaggDataEmph 9" xfId="1021"/>
    <cellStyle name="SAPBEXaggDataEmph_valor justo.junio2010" xfId="1022"/>
    <cellStyle name="SAPBEXaggItem" xfId="1023"/>
    <cellStyle name="SAPBEXaggItem 10" xfId="1024"/>
    <cellStyle name="SAPBEXaggItem 11" xfId="1025"/>
    <cellStyle name="SAPBEXaggItem 2" xfId="1026"/>
    <cellStyle name="SAPBEXaggItem 2 2" xfId="1027"/>
    <cellStyle name="SAPBEXaggItem 2 2 2" xfId="1028"/>
    <cellStyle name="SAPBEXaggItem 3" xfId="1029"/>
    <cellStyle name="SAPBEXaggItem 4" xfId="1030"/>
    <cellStyle name="SAPBEXaggItem 5" xfId="1031"/>
    <cellStyle name="SAPBEXaggItem 6" xfId="1032"/>
    <cellStyle name="SAPBEXaggItem 7" xfId="1033"/>
    <cellStyle name="SAPBEXaggItem 8" xfId="1034"/>
    <cellStyle name="SAPBEXaggItem 9" xfId="1035"/>
    <cellStyle name="SAPBEXaggItem_gxaccion, 68" xfId="1036"/>
    <cellStyle name="SAPBEXaggItemX" xfId="1037"/>
    <cellStyle name="SAPBEXaggItemX 10" xfId="1038"/>
    <cellStyle name="SAPBEXaggItemX 11" xfId="1039"/>
    <cellStyle name="SAPBEXaggItemX 2" xfId="1040"/>
    <cellStyle name="SAPBEXaggItemX 2 2" xfId="1041"/>
    <cellStyle name="SAPBEXaggItemX 2 2 2" xfId="1042"/>
    <cellStyle name="SAPBEXaggItemX 3" xfId="1043"/>
    <cellStyle name="SAPBEXaggItemX 4" xfId="1044"/>
    <cellStyle name="SAPBEXaggItemX 5" xfId="1045"/>
    <cellStyle name="SAPBEXaggItemX 6" xfId="1046"/>
    <cellStyle name="SAPBEXaggItemX 7" xfId="1047"/>
    <cellStyle name="SAPBEXaggItemX 8" xfId="1048"/>
    <cellStyle name="SAPBEXaggItemX 9" xfId="1049"/>
    <cellStyle name="SAPBEXaggItemX_valor justo.junio2010" xfId="1050"/>
    <cellStyle name="SAPBEXchaText" xfId="1051"/>
    <cellStyle name="SAPBEXchaText 10" xfId="1052"/>
    <cellStyle name="SAPBEXchaText 11" xfId="1053"/>
    <cellStyle name="SAPBEXchaText 2" xfId="1054"/>
    <cellStyle name="SAPBEXchaText 2 2" xfId="1055"/>
    <cellStyle name="SAPBEXchaText 2 2 2" xfId="1056"/>
    <cellStyle name="SAPBEXchaText 3" xfId="1057"/>
    <cellStyle name="SAPBEXchaText 4" xfId="1058"/>
    <cellStyle name="SAPBEXchaText 5" xfId="1059"/>
    <cellStyle name="SAPBEXchaText 6" xfId="1060"/>
    <cellStyle name="SAPBEXchaText 7" xfId="1061"/>
    <cellStyle name="SAPBEXchaText 8" xfId="1062"/>
    <cellStyle name="SAPBEXchaText 9" xfId="1063"/>
    <cellStyle name="SAPBEXchaText_gxaccion, 68" xfId="1064"/>
    <cellStyle name="SAPBEXexcBad7" xfId="1065"/>
    <cellStyle name="SAPBEXexcBad7 10" xfId="1066"/>
    <cellStyle name="SAPBEXexcBad7 11" xfId="1067"/>
    <cellStyle name="SAPBEXexcBad7 2" xfId="1068"/>
    <cellStyle name="SAPBEXexcBad7 2 2" xfId="1069"/>
    <cellStyle name="SAPBEXexcBad7 2 2 2" xfId="1070"/>
    <cellStyle name="SAPBEXexcBad7 3" xfId="1071"/>
    <cellStyle name="SAPBEXexcBad7 4" xfId="1072"/>
    <cellStyle name="SAPBEXexcBad7 5" xfId="1073"/>
    <cellStyle name="SAPBEXexcBad7 6" xfId="1074"/>
    <cellStyle name="SAPBEXexcBad7 7" xfId="1075"/>
    <cellStyle name="SAPBEXexcBad7 8" xfId="1076"/>
    <cellStyle name="SAPBEXexcBad7 9" xfId="1077"/>
    <cellStyle name="SAPBEXexcBad7_gxaccion, 68" xfId="1078"/>
    <cellStyle name="SAPBEXexcBad8" xfId="1079"/>
    <cellStyle name="SAPBEXexcBad8 10" xfId="1080"/>
    <cellStyle name="SAPBEXexcBad8 11" xfId="1081"/>
    <cellStyle name="SAPBEXexcBad8 2" xfId="1082"/>
    <cellStyle name="SAPBEXexcBad8 2 2" xfId="1083"/>
    <cellStyle name="SAPBEXexcBad8 2 2 2" xfId="1084"/>
    <cellStyle name="SAPBEXexcBad8 3" xfId="1085"/>
    <cellStyle name="SAPBEXexcBad8 4" xfId="1086"/>
    <cellStyle name="SAPBEXexcBad8 5" xfId="1087"/>
    <cellStyle name="SAPBEXexcBad8 6" xfId="1088"/>
    <cellStyle name="SAPBEXexcBad8 7" xfId="1089"/>
    <cellStyle name="SAPBEXexcBad8 8" xfId="1090"/>
    <cellStyle name="SAPBEXexcBad8 9" xfId="1091"/>
    <cellStyle name="SAPBEXexcBad8_gxaccion, 68" xfId="1092"/>
    <cellStyle name="SAPBEXexcBad9" xfId="1093"/>
    <cellStyle name="SAPBEXexcBad9 10" xfId="1094"/>
    <cellStyle name="SAPBEXexcBad9 11" xfId="1095"/>
    <cellStyle name="SAPBEXexcBad9 2" xfId="1096"/>
    <cellStyle name="SAPBEXexcBad9 2 2" xfId="1097"/>
    <cellStyle name="SAPBEXexcBad9 2 2 2" xfId="1098"/>
    <cellStyle name="SAPBEXexcBad9 3" xfId="1099"/>
    <cellStyle name="SAPBEXexcBad9 4" xfId="1100"/>
    <cellStyle name="SAPBEXexcBad9 5" xfId="1101"/>
    <cellStyle name="SAPBEXexcBad9 6" xfId="1102"/>
    <cellStyle name="SAPBEXexcBad9 7" xfId="1103"/>
    <cellStyle name="SAPBEXexcBad9 8" xfId="1104"/>
    <cellStyle name="SAPBEXexcBad9 9" xfId="1105"/>
    <cellStyle name="SAPBEXexcBad9_gxaccion, 68" xfId="1106"/>
    <cellStyle name="SAPBEXexcCritical4" xfId="1107"/>
    <cellStyle name="SAPBEXexcCritical4 10" xfId="1108"/>
    <cellStyle name="SAPBEXexcCritical4 11" xfId="1109"/>
    <cellStyle name="SAPBEXexcCritical4 2" xfId="1110"/>
    <cellStyle name="SAPBEXexcCritical4 2 2" xfId="1111"/>
    <cellStyle name="SAPBEXexcCritical4 2 2 2" xfId="1112"/>
    <cellStyle name="SAPBEXexcCritical4 3" xfId="1113"/>
    <cellStyle name="SAPBEXexcCritical4 4" xfId="1114"/>
    <cellStyle name="SAPBEXexcCritical4 5" xfId="1115"/>
    <cellStyle name="SAPBEXexcCritical4 6" xfId="1116"/>
    <cellStyle name="SAPBEXexcCritical4 7" xfId="1117"/>
    <cellStyle name="SAPBEXexcCritical4 8" xfId="1118"/>
    <cellStyle name="SAPBEXexcCritical4 9" xfId="1119"/>
    <cellStyle name="SAPBEXexcCritical4_gxaccion, 68" xfId="1120"/>
    <cellStyle name="SAPBEXexcCritical5" xfId="1121"/>
    <cellStyle name="SAPBEXexcCritical5 10" xfId="1122"/>
    <cellStyle name="SAPBEXexcCritical5 11" xfId="1123"/>
    <cellStyle name="SAPBEXexcCritical5 2" xfId="1124"/>
    <cellStyle name="SAPBEXexcCritical5 2 2" xfId="1125"/>
    <cellStyle name="SAPBEXexcCritical5 2 2 2" xfId="1126"/>
    <cellStyle name="SAPBEXexcCritical5 3" xfId="1127"/>
    <cellStyle name="SAPBEXexcCritical5 4" xfId="1128"/>
    <cellStyle name="SAPBEXexcCritical5 5" xfId="1129"/>
    <cellStyle name="SAPBEXexcCritical5 6" xfId="1130"/>
    <cellStyle name="SAPBEXexcCritical5 7" xfId="1131"/>
    <cellStyle name="SAPBEXexcCritical5 8" xfId="1132"/>
    <cellStyle name="SAPBEXexcCritical5 9" xfId="1133"/>
    <cellStyle name="SAPBEXexcCritical5_gxaccion, 68" xfId="1134"/>
    <cellStyle name="SAPBEXexcCritical6" xfId="1135"/>
    <cellStyle name="SAPBEXexcCritical6 10" xfId="1136"/>
    <cellStyle name="SAPBEXexcCritical6 11" xfId="1137"/>
    <cellStyle name="SAPBEXexcCritical6 2" xfId="1138"/>
    <cellStyle name="SAPBEXexcCritical6 2 2" xfId="1139"/>
    <cellStyle name="SAPBEXexcCritical6 2 2 2" xfId="1140"/>
    <cellStyle name="SAPBEXexcCritical6 3" xfId="1141"/>
    <cellStyle name="SAPBEXexcCritical6 4" xfId="1142"/>
    <cellStyle name="SAPBEXexcCritical6 5" xfId="1143"/>
    <cellStyle name="SAPBEXexcCritical6 6" xfId="1144"/>
    <cellStyle name="SAPBEXexcCritical6 7" xfId="1145"/>
    <cellStyle name="SAPBEXexcCritical6 8" xfId="1146"/>
    <cellStyle name="SAPBEXexcCritical6 9" xfId="1147"/>
    <cellStyle name="SAPBEXexcCritical6_gxaccion, 68" xfId="1148"/>
    <cellStyle name="SAPBEXexcGood1" xfId="1149"/>
    <cellStyle name="SAPBEXexcGood1 10" xfId="1150"/>
    <cellStyle name="SAPBEXexcGood1 11" xfId="1151"/>
    <cellStyle name="SAPBEXexcGood1 2" xfId="1152"/>
    <cellStyle name="SAPBEXexcGood1 2 2" xfId="1153"/>
    <cellStyle name="SAPBEXexcGood1 2 2 2" xfId="1154"/>
    <cellStyle name="SAPBEXexcGood1 3" xfId="1155"/>
    <cellStyle name="SAPBEXexcGood1 4" xfId="1156"/>
    <cellStyle name="SAPBEXexcGood1 5" xfId="1157"/>
    <cellStyle name="SAPBEXexcGood1 6" xfId="1158"/>
    <cellStyle name="SAPBEXexcGood1 7" xfId="1159"/>
    <cellStyle name="SAPBEXexcGood1 8" xfId="1160"/>
    <cellStyle name="SAPBEXexcGood1 9" xfId="1161"/>
    <cellStyle name="SAPBEXexcGood1_gxaccion, 68" xfId="1162"/>
    <cellStyle name="SAPBEXexcGood2" xfId="1163"/>
    <cellStyle name="SAPBEXexcGood2 10" xfId="1164"/>
    <cellStyle name="SAPBEXexcGood2 11" xfId="1165"/>
    <cellStyle name="SAPBEXexcGood2 2" xfId="1166"/>
    <cellStyle name="SAPBEXexcGood2 2 2" xfId="1167"/>
    <cellStyle name="SAPBEXexcGood2 2 2 2" xfId="1168"/>
    <cellStyle name="SAPBEXexcGood2 3" xfId="1169"/>
    <cellStyle name="SAPBEXexcGood2 4" xfId="1170"/>
    <cellStyle name="SAPBEXexcGood2 5" xfId="1171"/>
    <cellStyle name="SAPBEXexcGood2 6" xfId="1172"/>
    <cellStyle name="SAPBEXexcGood2 7" xfId="1173"/>
    <cellStyle name="SAPBEXexcGood2 8" xfId="1174"/>
    <cellStyle name="SAPBEXexcGood2 9" xfId="1175"/>
    <cellStyle name="SAPBEXexcGood2_gxaccion, 68" xfId="1176"/>
    <cellStyle name="SAPBEXexcGood3" xfId="1177"/>
    <cellStyle name="SAPBEXexcGood3 10" xfId="1178"/>
    <cellStyle name="SAPBEXexcGood3 11" xfId="1179"/>
    <cellStyle name="SAPBEXexcGood3 2" xfId="1180"/>
    <cellStyle name="SAPBEXexcGood3 2 2" xfId="1181"/>
    <cellStyle name="SAPBEXexcGood3 2 2 2" xfId="1182"/>
    <cellStyle name="SAPBEXexcGood3 3" xfId="1183"/>
    <cellStyle name="SAPBEXexcGood3 4" xfId="1184"/>
    <cellStyle name="SAPBEXexcGood3 5" xfId="1185"/>
    <cellStyle name="SAPBEXexcGood3 6" xfId="1186"/>
    <cellStyle name="SAPBEXexcGood3 7" xfId="1187"/>
    <cellStyle name="SAPBEXexcGood3 8" xfId="1188"/>
    <cellStyle name="SAPBEXexcGood3 9" xfId="1189"/>
    <cellStyle name="SAPBEXexcGood3_gxaccion, 68" xfId="1190"/>
    <cellStyle name="SAPBEXfilterDrill" xfId="1191"/>
    <cellStyle name="SAPBEXfilterDrill 10" xfId="1192"/>
    <cellStyle name="SAPBEXfilterDrill 11" xfId="1193"/>
    <cellStyle name="SAPBEXfilterDrill 2" xfId="1194"/>
    <cellStyle name="SAPBEXfilterDrill 2 2" xfId="1195"/>
    <cellStyle name="SAPBEXfilterDrill 2 2 2" xfId="1196"/>
    <cellStyle name="SAPBEXfilterDrill 3" xfId="1197"/>
    <cellStyle name="SAPBEXfilterDrill 4" xfId="1198"/>
    <cellStyle name="SAPBEXfilterDrill 5" xfId="1199"/>
    <cellStyle name="SAPBEXfilterDrill 6" xfId="1200"/>
    <cellStyle name="SAPBEXfilterDrill 7" xfId="1201"/>
    <cellStyle name="SAPBEXfilterDrill 8" xfId="1202"/>
    <cellStyle name="SAPBEXfilterDrill 9" xfId="1203"/>
    <cellStyle name="SAPBEXfilterDrill_gxaccion, 68" xfId="1204"/>
    <cellStyle name="SAPBEXfilterItem" xfId="1205"/>
    <cellStyle name="SAPBEXfilterItem 10" xfId="1206"/>
    <cellStyle name="SAPBEXfilterItem 11" xfId="1207"/>
    <cellStyle name="SAPBEXfilterItem 2" xfId="1208"/>
    <cellStyle name="SAPBEXfilterItem 2 2" xfId="1209"/>
    <cellStyle name="SAPBEXfilterItem 2 2 2" xfId="1210"/>
    <cellStyle name="SAPBEXfilterItem 3" xfId="1211"/>
    <cellStyle name="SAPBEXfilterItem 4" xfId="1212"/>
    <cellStyle name="SAPBEXfilterItem 5" xfId="1213"/>
    <cellStyle name="SAPBEXfilterItem 6" xfId="1214"/>
    <cellStyle name="SAPBEXfilterItem 7" xfId="1215"/>
    <cellStyle name="SAPBEXfilterItem 8" xfId="1216"/>
    <cellStyle name="SAPBEXfilterItem 9" xfId="1217"/>
    <cellStyle name="SAPBEXfilterText" xfId="1218"/>
    <cellStyle name="SAPBEXfilterText 10" xfId="1219"/>
    <cellStyle name="SAPBEXfilterText 11" xfId="1220"/>
    <cellStyle name="SAPBEXfilterText 2" xfId="1221"/>
    <cellStyle name="SAPBEXfilterText 2 2" xfId="1222"/>
    <cellStyle name="SAPBEXfilterText 2 2 2" xfId="1223"/>
    <cellStyle name="SAPBEXfilterText 3" xfId="1224"/>
    <cellStyle name="SAPBEXfilterText 4" xfId="1225"/>
    <cellStyle name="SAPBEXfilterText 5" xfId="1226"/>
    <cellStyle name="SAPBEXfilterText 6" xfId="1227"/>
    <cellStyle name="SAPBEXfilterText 7" xfId="1228"/>
    <cellStyle name="SAPBEXfilterText 8" xfId="1229"/>
    <cellStyle name="SAPBEXfilterText 9" xfId="1230"/>
    <cellStyle name="SAPBEXformats" xfId="1231"/>
    <cellStyle name="SAPBEXformats 10" xfId="1232"/>
    <cellStyle name="SAPBEXformats 11" xfId="1233"/>
    <cellStyle name="SAPBEXformats 2" xfId="1234"/>
    <cellStyle name="SAPBEXformats 2 2" xfId="1235"/>
    <cellStyle name="SAPBEXformats 2 2 2" xfId="1236"/>
    <cellStyle name="SAPBEXformats 3" xfId="1237"/>
    <cellStyle name="SAPBEXformats 4" xfId="1238"/>
    <cellStyle name="SAPBEXformats 5" xfId="1239"/>
    <cellStyle name="SAPBEXformats 6" xfId="1240"/>
    <cellStyle name="SAPBEXformats 7" xfId="1241"/>
    <cellStyle name="SAPBEXformats 8" xfId="1242"/>
    <cellStyle name="SAPBEXformats 9" xfId="1243"/>
    <cellStyle name="SAPBEXformats_gxaccion, 68" xfId="1244"/>
    <cellStyle name="SAPBEXheaderItem" xfId="1245"/>
    <cellStyle name="SAPBEXheaderItem 10" xfId="1246"/>
    <cellStyle name="SAPBEXheaderItem 11" xfId="1247"/>
    <cellStyle name="SAPBEXheaderItem 2" xfId="1248"/>
    <cellStyle name="SAPBEXheaderItem 2 2" xfId="1249"/>
    <cellStyle name="SAPBEXheaderItem 2 2 2" xfId="1250"/>
    <cellStyle name="SAPBEXheaderItem 3" xfId="1251"/>
    <cellStyle name="SAPBEXheaderItem 4" xfId="1252"/>
    <cellStyle name="SAPBEXheaderItem 5" xfId="1253"/>
    <cellStyle name="SAPBEXheaderItem 6" xfId="1254"/>
    <cellStyle name="SAPBEXheaderItem 7" xfId="1255"/>
    <cellStyle name="SAPBEXheaderItem 8" xfId="1256"/>
    <cellStyle name="SAPBEXheaderItem 9" xfId="1257"/>
    <cellStyle name="SAPBEXheaderItem_gxaccion, 68" xfId="1258"/>
    <cellStyle name="SAPBEXheaderText" xfId="1259"/>
    <cellStyle name="SAPBEXheaderText 10" xfId="1260"/>
    <cellStyle name="SAPBEXheaderText 11" xfId="1261"/>
    <cellStyle name="SAPBEXheaderText 2" xfId="1262"/>
    <cellStyle name="SAPBEXheaderText 2 2" xfId="1263"/>
    <cellStyle name="SAPBEXheaderText 2 2 2" xfId="1264"/>
    <cellStyle name="SAPBEXheaderText 3" xfId="1265"/>
    <cellStyle name="SAPBEXheaderText 4" xfId="1266"/>
    <cellStyle name="SAPBEXheaderText 5" xfId="1267"/>
    <cellStyle name="SAPBEXheaderText 6" xfId="1268"/>
    <cellStyle name="SAPBEXheaderText 7" xfId="1269"/>
    <cellStyle name="SAPBEXheaderText 8" xfId="1270"/>
    <cellStyle name="SAPBEXheaderText 9" xfId="1271"/>
    <cellStyle name="SAPBEXheaderText_gxaccion, 68" xfId="1272"/>
    <cellStyle name="SAPBEXHLevel0" xfId="1273"/>
    <cellStyle name="SAPBEXHLevel0 10" xfId="1274"/>
    <cellStyle name="SAPBEXHLevel0 11" xfId="1275"/>
    <cellStyle name="SAPBEXHLevel0 2" xfId="1276"/>
    <cellStyle name="SAPBEXHLevel0 2 2" xfId="1277"/>
    <cellStyle name="SAPBEXHLevel0 2 2 2" xfId="1278"/>
    <cellStyle name="SAPBEXHLevel0 3" xfId="1279"/>
    <cellStyle name="SAPBEXHLevel0 4" xfId="1280"/>
    <cellStyle name="SAPBEXHLevel0 5" xfId="1281"/>
    <cellStyle name="SAPBEXHLevel0 6" xfId="1282"/>
    <cellStyle name="SAPBEXHLevel0 7" xfId="1283"/>
    <cellStyle name="SAPBEXHLevel0 8" xfId="1284"/>
    <cellStyle name="SAPBEXHLevel0 9" xfId="1285"/>
    <cellStyle name="SAPBEXHLevel0_gxaccion, 68" xfId="1286"/>
    <cellStyle name="SAPBEXHLevel0X" xfId="1287"/>
    <cellStyle name="SAPBEXHLevel0X 10" xfId="1288"/>
    <cellStyle name="SAPBEXHLevel0X 11" xfId="1289"/>
    <cellStyle name="SAPBEXHLevel0X 2" xfId="1290"/>
    <cellStyle name="SAPBEXHLevel0X 2 2" xfId="1291"/>
    <cellStyle name="SAPBEXHLevel0X 2 2 2" xfId="1292"/>
    <cellStyle name="SAPBEXHLevel0X 3" xfId="1293"/>
    <cellStyle name="SAPBEXHLevel0X 4" xfId="1294"/>
    <cellStyle name="SAPBEXHLevel0X 5" xfId="1295"/>
    <cellStyle name="SAPBEXHLevel0X 6" xfId="1296"/>
    <cellStyle name="SAPBEXHLevel0X 7" xfId="1297"/>
    <cellStyle name="SAPBEXHLevel0X 8" xfId="1298"/>
    <cellStyle name="SAPBEXHLevel0X 9" xfId="1299"/>
    <cellStyle name="SAPBEXHLevel0X_gxaccion, 68" xfId="1300"/>
    <cellStyle name="SAPBEXHLevel1" xfId="1301"/>
    <cellStyle name="SAPBEXHLevel1 10" xfId="1302"/>
    <cellStyle name="SAPBEXHLevel1 11" xfId="1303"/>
    <cellStyle name="SAPBEXHLevel1 2" xfId="1304"/>
    <cellStyle name="SAPBEXHLevel1 2 2" xfId="1305"/>
    <cellStyle name="SAPBEXHLevel1 2 2 2" xfId="1306"/>
    <cellStyle name="SAPBEXHLevel1 3" xfId="1307"/>
    <cellStyle name="SAPBEXHLevel1 4" xfId="1308"/>
    <cellStyle name="SAPBEXHLevel1 5" xfId="1309"/>
    <cellStyle name="SAPBEXHLevel1 6" xfId="1310"/>
    <cellStyle name="SAPBEXHLevel1 7" xfId="1311"/>
    <cellStyle name="SAPBEXHLevel1 8" xfId="1312"/>
    <cellStyle name="SAPBEXHLevel1 9" xfId="1313"/>
    <cellStyle name="SAPBEXHLevel1_gxaccion, 68" xfId="1314"/>
    <cellStyle name="SAPBEXHLevel1X" xfId="1315"/>
    <cellStyle name="SAPBEXHLevel1X 10" xfId="1316"/>
    <cellStyle name="SAPBEXHLevel1X 11" xfId="1317"/>
    <cellStyle name="SAPBEXHLevel1X 2" xfId="1318"/>
    <cellStyle name="SAPBEXHLevel1X 2 2" xfId="1319"/>
    <cellStyle name="SAPBEXHLevel1X 2 2 2" xfId="1320"/>
    <cellStyle name="SAPBEXHLevel1X 3" xfId="1321"/>
    <cellStyle name="SAPBEXHLevel1X 4" xfId="1322"/>
    <cellStyle name="SAPBEXHLevel1X 5" xfId="1323"/>
    <cellStyle name="SAPBEXHLevel1X 6" xfId="1324"/>
    <cellStyle name="SAPBEXHLevel1X 7" xfId="1325"/>
    <cellStyle name="SAPBEXHLevel1X 8" xfId="1326"/>
    <cellStyle name="SAPBEXHLevel1X 9" xfId="1327"/>
    <cellStyle name="SAPBEXHLevel1X_gxaccion, 68" xfId="1328"/>
    <cellStyle name="SAPBEXHLevel2" xfId="1329"/>
    <cellStyle name="SAPBEXHLevel2 10" xfId="1330"/>
    <cellStyle name="SAPBEXHLevel2 11" xfId="1331"/>
    <cellStyle name="SAPBEXHLevel2 2" xfId="1332"/>
    <cellStyle name="SAPBEXHLevel2 2 2" xfId="1333"/>
    <cellStyle name="SAPBEXHLevel2 2 2 2" xfId="1334"/>
    <cellStyle name="SAPBEXHLevel2 3" xfId="1335"/>
    <cellStyle name="SAPBEXHLevel2 4" xfId="1336"/>
    <cellStyle name="SAPBEXHLevel2 5" xfId="1337"/>
    <cellStyle name="SAPBEXHLevel2 6" xfId="1338"/>
    <cellStyle name="SAPBEXHLevel2 7" xfId="1339"/>
    <cellStyle name="SAPBEXHLevel2 8" xfId="1340"/>
    <cellStyle name="SAPBEXHLevel2 9" xfId="1341"/>
    <cellStyle name="SAPBEXHLevel2_gxaccion, 68" xfId="1342"/>
    <cellStyle name="SAPBEXHLevel2X" xfId="1343"/>
    <cellStyle name="SAPBEXHLevel2X 10" xfId="1344"/>
    <cellStyle name="SAPBEXHLevel2X 11" xfId="1345"/>
    <cellStyle name="SAPBEXHLevel2X 2" xfId="1346"/>
    <cellStyle name="SAPBEXHLevel2X 2 2" xfId="1347"/>
    <cellStyle name="SAPBEXHLevel2X 2 2 2" xfId="1348"/>
    <cellStyle name="SAPBEXHLevel2X 3" xfId="1349"/>
    <cellStyle name="SAPBEXHLevel2X 4" xfId="1350"/>
    <cellStyle name="SAPBEXHLevel2X 5" xfId="1351"/>
    <cellStyle name="SAPBEXHLevel2X 6" xfId="1352"/>
    <cellStyle name="SAPBEXHLevel2X 7" xfId="1353"/>
    <cellStyle name="SAPBEXHLevel2X 8" xfId="1354"/>
    <cellStyle name="SAPBEXHLevel2X 9" xfId="1355"/>
    <cellStyle name="SAPBEXHLevel2X_gxaccion, 68" xfId="1356"/>
    <cellStyle name="SAPBEXHLevel3" xfId="1357"/>
    <cellStyle name="SAPBEXHLevel3 10" xfId="1358"/>
    <cellStyle name="SAPBEXHLevel3 11" xfId="1359"/>
    <cellStyle name="SAPBEXHLevel3 2" xfId="1360"/>
    <cellStyle name="SAPBEXHLevel3 2 2" xfId="1361"/>
    <cellStyle name="SAPBEXHLevel3 2 2 2" xfId="1362"/>
    <cellStyle name="SAPBEXHLevel3 3" xfId="1363"/>
    <cellStyle name="SAPBEXHLevel3 4" xfId="1364"/>
    <cellStyle name="SAPBEXHLevel3 5" xfId="1365"/>
    <cellStyle name="SAPBEXHLevel3 6" xfId="1366"/>
    <cellStyle name="SAPBEXHLevel3 7" xfId="1367"/>
    <cellStyle name="SAPBEXHLevel3 8" xfId="1368"/>
    <cellStyle name="SAPBEXHLevel3 9" xfId="1369"/>
    <cellStyle name="SAPBEXHLevel3_gxaccion, 68" xfId="1370"/>
    <cellStyle name="SAPBEXHLevel3X" xfId="1371"/>
    <cellStyle name="SAPBEXHLevel3X 10" xfId="1372"/>
    <cellStyle name="SAPBEXHLevel3X 11" xfId="1373"/>
    <cellStyle name="SAPBEXHLevel3X 2" xfId="1374"/>
    <cellStyle name="SAPBEXHLevel3X 2 2" xfId="1375"/>
    <cellStyle name="SAPBEXHLevel3X 2 2 2" xfId="1376"/>
    <cellStyle name="SAPBEXHLevel3X 3" xfId="1377"/>
    <cellStyle name="SAPBEXHLevel3X 4" xfId="1378"/>
    <cellStyle name="SAPBEXHLevel3X 5" xfId="1379"/>
    <cellStyle name="SAPBEXHLevel3X 6" xfId="1380"/>
    <cellStyle name="SAPBEXHLevel3X 7" xfId="1381"/>
    <cellStyle name="SAPBEXHLevel3X 8" xfId="1382"/>
    <cellStyle name="SAPBEXHLevel3X 9" xfId="1383"/>
    <cellStyle name="SAPBEXHLevel3X_gxaccion, 68" xfId="1384"/>
    <cellStyle name="SAPBEXinputData" xfId="1385"/>
    <cellStyle name="SAPBEXinputData 10" xfId="1386"/>
    <cellStyle name="SAPBEXinputData 11" xfId="1387"/>
    <cellStyle name="SAPBEXinputData 2" xfId="1388"/>
    <cellStyle name="SAPBEXinputData 2 2" xfId="1389"/>
    <cellStyle name="SAPBEXinputData 2 2 2" xfId="1390"/>
    <cellStyle name="SAPBEXinputData 3" xfId="1391"/>
    <cellStyle name="SAPBEXinputData 4" xfId="1392"/>
    <cellStyle name="SAPBEXinputData 5" xfId="1393"/>
    <cellStyle name="SAPBEXinputData 6" xfId="1394"/>
    <cellStyle name="SAPBEXinputData 7" xfId="1395"/>
    <cellStyle name="SAPBEXinputData 8" xfId="1396"/>
    <cellStyle name="SAPBEXinputData 9" xfId="1397"/>
    <cellStyle name="SAPBEXinputData_gxaccion, 68" xfId="1398"/>
    <cellStyle name="SAPBEXItemHeader" xfId="1399"/>
    <cellStyle name="SAPBEXresData" xfId="1400"/>
    <cellStyle name="SAPBEXresData 10" xfId="1401"/>
    <cellStyle name="SAPBEXresData 11" xfId="1402"/>
    <cellStyle name="SAPBEXresData 2" xfId="1403"/>
    <cellStyle name="SAPBEXresData 2 2" xfId="1404"/>
    <cellStyle name="SAPBEXresData 2 2 2" xfId="1405"/>
    <cellStyle name="SAPBEXresData 3" xfId="1406"/>
    <cellStyle name="SAPBEXresData 4" xfId="1407"/>
    <cellStyle name="SAPBEXresData 5" xfId="1408"/>
    <cellStyle name="SAPBEXresData 6" xfId="1409"/>
    <cellStyle name="SAPBEXresData 7" xfId="1410"/>
    <cellStyle name="SAPBEXresData 8" xfId="1411"/>
    <cellStyle name="SAPBEXresData 9" xfId="1412"/>
    <cellStyle name="SAPBEXresData_valor justo.junio2010" xfId="1413"/>
    <cellStyle name="SAPBEXresDataEmph" xfId="1414"/>
    <cellStyle name="SAPBEXresDataEmph 10" xfId="1415"/>
    <cellStyle name="SAPBEXresDataEmph 11" xfId="1416"/>
    <cellStyle name="SAPBEXresDataEmph 2" xfId="1417"/>
    <cellStyle name="SAPBEXresDataEmph 2 2" xfId="1418"/>
    <cellStyle name="SAPBEXresDataEmph 2 2 2" xfId="1419"/>
    <cellStyle name="SAPBEXresDataEmph 3" xfId="1420"/>
    <cellStyle name="SAPBEXresDataEmph 4" xfId="1421"/>
    <cellStyle name="SAPBEXresDataEmph 5" xfId="1422"/>
    <cellStyle name="SAPBEXresDataEmph 6" xfId="1423"/>
    <cellStyle name="SAPBEXresDataEmph 7" xfId="1424"/>
    <cellStyle name="SAPBEXresDataEmph 8" xfId="1425"/>
    <cellStyle name="SAPBEXresDataEmph 9" xfId="1426"/>
    <cellStyle name="SAPBEXresDataEmph_valor justo.junio2010" xfId="1427"/>
    <cellStyle name="SAPBEXresItem" xfId="1428"/>
    <cellStyle name="SAPBEXresItem 10" xfId="1429"/>
    <cellStyle name="SAPBEXresItem 11" xfId="1430"/>
    <cellStyle name="SAPBEXresItem 2" xfId="1431"/>
    <cellStyle name="SAPBEXresItem 2 2" xfId="1432"/>
    <cellStyle name="SAPBEXresItem 2 2 2" xfId="1433"/>
    <cellStyle name="SAPBEXresItem 3" xfId="1434"/>
    <cellStyle name="SAPBEXresItem 4" xfId="1435"/>
    <cellStyle name="SAPBEXresItem 5" xfId="1436"/>
    <cellStyle name="SAPBEXresItem 6" xfId="1437"/>
    <cellStyle name="SAPBEXresItem 7" xfId="1438"/>
    <cellStyle name="SAPBEXresItem 8" xfId="1439"/>
    <cellStyle name="SAPBEXresItem 9" xfId="1440"/>
    <cellStyle name="SAPBEXresItem_valor justo.junio2010" xfId="1441"/>
    <cellStyle name="SAPBEXresItemX" xfId="1442"/>
    <cellStyle name="SAPBEXresItemX 10" xfId="1443"/>
    <cellStyle name="SAPBEXresItemX 11" xfId="1444"/>
    <cellStyle name="SAPBEXresItemX 2" xfId="1445"/>
    <cellStyle name="SAPBEXresItemX 2 2" xfId="1446"/>
    <cellStyle name="SAPBEXresItemX 2 2 2" xfId="1447"/>
    <cellStyle name="SAPBEXresItemX 3" xfId="1448"/>
    <cellStyle name="SAPBEXresItemX 4" xfId="1449"/>
    <cellStyle name="SAPBEXresItemX 5" xfId="1450"/>
    <cellStyle name="SAPBEXresItemX 6" xfId="1451"/>
    <cellStyle name="SAPBEXresItemX 7" xfId="1452"/>
    <cellStyle name="SAPBEXresItemX 8" xfId="1453"/>
    <cellStyle name="SAPBEXresItemX 9" xfId="1454"/>
    <cellStyle name="SAPBEXresItemX_valor justo.junio2010" xfId="1455"/>
    <cellStyle name="SAPBEXstdData" xfId="1456"/>
    <cellStyle name="SAPBEXstdData 10" xfId="1457"/>
    <cellStyle name="SAPBEXstdData 11" xfId="1458"/>
    <cellStyle name="SAPBEXstdData 2" xfId="1459"/>
    <cellStyle name="SAPBEXstdData 2 2" xfId="1460"/>
    <cellStyle name="SAPBEXstdData 2 2 2" xfId="1461"/>
    <cellStyle name="SAPBEXstdData 3" xfId="1462"/>
    <cellStyle name="SAPBEXstdData 4" xfId="1463"/>
    <cellStyle name="SAPBEXstdData 5" xfId="1464"/>
    <cellStyle name="SAPBEXstdData 6" xfId="1465"/>
    <cellStyle name="SAPBEXstdData 7" xfId="1466"/>
    <cellStyle name="SAPBEXstdData 8" xfId="1467"/>
    <cellStyle name="SAPBEXstdData 9" xfId="1468"/>
    <cellStyle name="SAPBEXstdData_gxaccion, 68" xfId="1469"/>
    <cellStyle name="SAPBEXstdDataEmph" xfId="1470"/>
    <cellStyle name="SAPBEXstdDataEmph 10" xfId="1471"/>
    <cellStyle name="SAPBEXstdDataEmph 11" xfId="1472"/>
    <cellStyle name="SAPBEXstdDataEmph 2" xfId="1473"/>
    <cellStyle name="SAPBEXstdDataEmph 2 2" xfId="1474"/>
    <cellStyle name="SAPBEXstdDataEmph 2 2 2" xfId="1475"/>
    <cellStyle name="SAPBEXstdDataEmph 3" xfId="1476"/>
    <cellStyle name="SAPBEXstdDataEmph 4" xfId="1477"/>
    <cellStyle name="SAPBEXstdDataEmph 5" xfId="1478"/>
    <cellStyle name="SAPBEXstdDataEmph 6" xfId="1479"/>
    <cellStyle name="SAPBEXstdDataEmph 7" xfId="1480"/>
    <cellStyle name="SAPBEXstdDataEmph 8" xfId="1481"/>
    <cellStyle name="SAPBEXstdDataEmph 9" xfId="1482"/>
    <cellStyle name="SAPBEXstdDataEmph_valor justo.junio2010" xfId="1483"/>
    <cellStyle name="SAPBEXstdItem" xfId="1484"/>
    <cellStyle name="SAPBEXstdItem 10" xfId="1485"/>
    <cellStyle name="SAPBEXstdItem 11" xfId="1486"/>
    <cellStyle name="SAPBEXstdItem 2" xfId="1487"/>
    <cellStyle name="SAPBEXstdItem 2 2" xfId="1488"/>
    <cellStyle name="SAPBEXstdItem 2 2 2" xfId="1489"/>
    <cellStyle name="SAPBEXstdItem 3" xfId="1490"/>
    <cellStyle name="SAPBEXstdItem 4" xfId="1491"/>
    <cellStyle name="SAPBEXstdItem 5" xfId="1492"/>
    <cellStyle name="SAPBEXstdItem 6" xfId="1493"/>
    <cellStyle name="SAPBEXstdItem 7" xfId="1494"/>
    <cellStyle name="SAPBEXstdItem 8" xfId="1495"/>
    <cellStyle name="SAPBEXstdItem 9" xfId="1496"/>
    <cellStyle name="SAPBEXstdItem_gxaccion, 68" xfId="1497"/>
    <cellStyle name="SAPBEXstdItemX" xfId="1498"/>
    <cellStyle name="SAPBEXstdItemX 10" xfId="1499"/>
    <cellStyle name="SAPBEXstdItemX 11" xfId="1500"/>
    <cellStyle name="SAPBEXstdItemX 2" xfId="1501"/>
    <cellStyle name="SAPBEXstdItemX 2 2" xfId="1502"/>
    <cellStyle name="SAPBEXstdItemX 2 2 2" xfId="1503"/>
    <cellStyle name="SAPBEXstdItemX 3" xfId="1504"/>
    <cellStyle name="SAPBEXstdItemX 4" xfId="1505"/>
    <cellStyle name="SAPBEXstdItemX 5" xfId="1506"/>
    <cellStyle name="SAPBEXstdItemX 6" xfId="1507"/>
    <cellStyle name="SAPBEXstdItemX 7" xfId="1508"/>
    <cellStyle name="SAPBEXstdItemX 8" xfId="1509"/>
    <cellStyle name="SAPBEXstdItemX 9" xfId="1510"/>
    <cellStyle name="SAPBEXstdItemX_valor justo.junio2010" xfId="1511"/>
    <cellStyle name="SAPBEXtitle" xfId="1512"/>
    <cellStyle name="SAPBEXtitle 10" xfId="1513"/>
    <cellStyle name="SAPBEXtitle 11" xfId="1514"/>
    <cellStyle name="SAPBEXtitle 2" xfId="1515"/>
    <cellStyle name="SAPBEXtitle 2 2" xfId="1516"/>
    <cellStyle name="SAPBEXtitle 2 2 2" xfId="1517"/>
    <cellStyle name="SAPBEXtitle 3" xfId="1518"/>
    <cellStyle name="SAPBEXtitle 4" xfId="1519"/>
    <cellStyle name="SAPBEXtitle 5" xfId="1520"/>
    <cellStyle name="SAPBEXtitle 6" xfId="1521"/>
    <cellStyle name="SAPBEXtitle 7" xfId="1522"/>
    <cellStyle name="SAPBEXtitle 8" xfId="1523"/>
    <cellStyle name="SAPBEXtitle 9" xfId="1524"/>
    <cellStyle name="SAPBEXunassignedItem" xfId="1525"/>
    <cellStyle name="SAPBEXunassignedItem 2" xfId="1526"/>
    <cellStyle name="SAPBEXunassignedItem 3" xfId="1527"/>
    <cellStyle name="SAPBEXunassignedItem 4" xfId="1528"/>
    <cellStyle name="SAPBEXunassignedItem 5" xfId="1529"/>
    <cellStyle name="SAPBEXundefined" xfId="1530"/>
    <cellStyle name="SAPBEXundefined 10" xfId="1531"/>
    <cellStyle name="SAPBEXundefined 11" xfId="1532"/>
    <cellStyle name="SAPBEXundefined 2" xfId="1533"/>
    <cellStyle name="SAPBEXundefined 2 2" xfId="1534"/>
    <cellStyle name="SAPBEXundefined 2 2 2" xfId="1535"/>
    <cellStyle name="SAPBEXundefined 3" xfId="1536"/>
    <cellStyle name="SAPBEXundefined 4" xfId="1537"/>
    <cellStyle name="SAPBEXundefined 5" xfId="1538"/>
    <cellStyle name="SAPBEXundefined 6" xfId="1539"/>
    <cellStyle name="SAPBEXundefined 7" xfId="1540"/>
    <cellStyle name="SAPBEXundefined 8" xfId="1541"/>
    <cellStyle name="SAPBEXundefined 9" xfId="1542"/>
    <cellStyle name="SAPBEXundefined_valor justo.junio2010" xfId="1543"/>
    <cellStyle name="Sheet Title" xfId="1544"/>
    <cellStyle name="Suma" xfId="1545"/>
    <cellStyle name="Tekst obja?nienia" xfId="1546"/>
    <cellStyle name="Tekst objaśnienia" xfId="1547"/>
    <cellStyle name="Tekst ostrze?enia" xfId="1548"/>
    <cellStyle name="Tekst ostrzeżenia" xfId="1549"/>
    <cellStyle name="Texto de advertencia" xfId="1550" builtinId="11" customBuiltin="1"/>
    <cellStyle name="Texto de advertencia 2" xfId="1551"/>
    <cellStyle name="Texto de advertencia 2 2" xfId="1552"/>
    <cellStyle name="Texto de advertencia 2 3" xfId="1553"/>
    <cellStyle name="Texto de advertencia 2 4" xfId="1554"/>
    <cellStyle name="Texto de advertencia 2 5" xfId="1555"/>
    <cellStyle name="Texto de advertencia 2 6" xfId="1556"/>
    <cellStyle name="Texto de advertencia 3" xfId="1557"/>
    <cellStyle name="Texto de advertencia 3 2" xfId="1558"/>
    <cellStyle name="Texto de advertencia 3 3" xfId="1559"/>
    <cellStyle name="Texto de advertencia 3 4" xfId="1560"/>
    <cellStyle name="Texto de advertencia 3 5" xfId="1561"/>
    <cellStyle name="Texto de advertencia 4" xfId="1562"/>
    <cellStyle name="Texto de advertencia 4 2" xfId="1563"/>
    <cellStyle name="Texto de advertencia 4 3" xfId="1564"/>
    <cellStyle name="Texto de advertencia 4 4" xfId="1565"/>
    <cellStyle name="Texto de advertencia 4 5" xfId="1566"/>
    <cellStyle name="Texto de advertencia 5" xfId="1567"/>
    <cellStyle name="Texto de advertencia 5 2" xfId="1568"/>
    <cellStyle name="Texto de advertencia 5 3" xfId="1569"/>
    <cellStyle name="Texto de advertencia 5 4" xfId="1570"/>
    <cellStyle name="Texto de advertencia 5 5" xfId="1571"/>
    <cellStyle name="Texto de advertencia 6" xfId="1572"/>
    <cellStyle name="Texto de advertencia 6 2" xfId="1573"/>
    <cellStyle name="Texto de advertencia 7" xfId="1574"/>
    <cellStyle name="Texto de advertencia 8" xfId="1575"/>
    <cellStyle name="Texto de advertencia 9" xfId="1576"/>
    <cellStyle name="Texto explicativo" xfId="1577" builtinId="53" customBuiltin="1"/>
    <cellStyle name="Texto explicativo 2 2" xfId="1578"/>
    <cellStyle name="Title" xfId="1579"/>
    <cellStyle name="Título" xfId="1580" builtinId="15" customBuiltin="1"/>
    <cellStyle name="Título 1 2" xfId="1582"/>
    <cellStyle name="Título 1 2 2" xfId="1583"/>
    <cellStyle name="Título 1 2 3" xfId="1584"/>
    <cellStyle name="Título 1 2 4" xfId="1585"/>
    <cellStyle name="Título 1 2 5" xfId="1586"/>
    <cellStyle name="Título 1 2 6" xfId="1587"/>
    <cellStyle name="Título 1 3" xfId="1588"/>
    <cellStyle name="Título 1 3 2" xfId="1589"/>
    <cellStyle name="Título 1 3 3" xfId="1590"/>
    <cellStyle name="Título 1 3 4" xfId="1591"/>
    <cellStyle name="Título 1 3 5" xfId="1592"/>
    <cellStyle name="Título 1 4" xfId="1593"/>
    <cellStyle name="Título 1 4 2" xfId="1594"/>
    <cellStyle name="Título 1 4 3" xfId="1595"/>
    <cellStyle name="Título 1 4 4" xfId="1596"/>
    <cellStyle name="Título 1 4 5" xfId="1597"/>
    <cellStyle name="Título 1 5" xfId="1598"/>
    <cellStyle name="Título 1 5 2" xfId="1599"/>
    <cellStyle name="Título 1 5 3" xfId="1600"/>
    <cellStyle name="Título 1 5 4" xfId="1601"/>
    <cellStyle name="Título 1 5 5" xfId="1602"/>
    <cellStyle name="Título 1 6" xfId="1603"/>
    <cellStyle name="Título 1 7" xfId="1604"/>
    <cellStyle name="Título 1 8" xfId="1605"/>
    <cellStyle name="Título 1 9" xfId="1606"/>
    <cellStyle name="Título 2" xfId="1607" builtinId="17" customBuiltin="1"/>
    <cellStyle name="Título 2 2" xfId="1608"/>
    <cellStyle name="Título 2 2 2" xfId="1609"/>
    <cellStyle name="Título 2 2 3" xfId="1610"/>
    <cellStyle name="Título 2 2 4" xfId="1611"/>
    <cellStyle name="Título 2 2 5" xfId="1612"/>
    <cellStyle name="Título 2 2 6" xfId="1613"/>
    <cellStyle name="Título 2 3" xfId="1614"/>
    <cellStyle name="Título 2 3 2" xfId="1615"/>
    <cellStyle name="Título 2 3 3" xfId="1616"/>
    <cellStyle name="Título 2 3 4" xfId="1617"/>
    <cellStyle name="Título 2 3 5" xfId="1618"/>
    <cellStyle name="Título 2 4" xfId="1619"/>
    <cellStyle name="Título 2 4 2" xfId="1620"/>
    <cellStyle name="Título 2 4 3" xfId="1621"/>
    <cellStyle name="Título 2 4 4" xfId="1622"/>
    <cellStyle name="Título 2 4 5" xfId="1623"/>
    <cellStyle name="Título 2 5" xfId="1624"/>
    <cellStyle name="Título 2 5 2" xfId="1625"/>
    <cellStyle name="Título 2 5 3" xfId="1626"/>
    <cellStyle name="Título 2 5 4" xfId="1627"/>
    <cellStyle name="Título 2 5 5" xfId="1628"/>
    <cellStyle name="Título 2 6" xfId="1629"/>
    <cellStyle name="Título 2 6 2" xfId="1630"/>
    <cellStyle name="Título 2 7" xfId="1631"/>
    <cellStyle name="Título 2 8" xfId="1632"/>
    <cellStyle name="Título 2 9" xfId="1633"/>
    <cellStyle name="Título 3" xfId="1634" builtinId="18" customBuiltin="1"/>
    <cellStyle name="Título 3 2" xfId="1635"/>
    <cellStyle name="Título 3 2 2" xfId="1636"/>
    <cellStyle name="Título 3 2 3" xfId="1637"/>
    <cellStyle name="Título 3 2 4" xfId="1638"/>
    <cellStyle name="Título 3 2 5" xfId="1639"/>
    <cellStyle name="Título 3 2 6" xfId="1640"/>
    <cellStyle name="Título 3 3" xfId="1641"/>
    <cellStyle name="Título 3 3 2" xfId="1642"/>
    <cellStyle name="Título 3 3 3" xfId="1643"/>
    <cellStyle name="Título 3 3 4" xfId="1644"/>
    <cellStyle name="Título 3 3 5" xfId="1645"/>
    <cellStyle name="Título 3 4" xfId="1646"/>
    <cellStyle name="Título 3 4 2" xfId="1647"/>
    <cellStyle name="Título 3 4 3" xfId="1648"/>
    <cellStyle name="Título 3 4 4" xfId="1649"/>
    <cellStyle name="Título 3 4 5" xfId="1650"/>
    <cellStyle name="Título 3 5" xfId="1651"/>
    <cellStyle name="Título 3 5 2" xfId="1652"/>
    <cellStyle name="Título 3 5 3" xfId="1653"/>
    <cellStyle name="Título 3 5 4" xfId="1654"/>
    <cellStyle name="Título 3 5 5" xfId="1655"/>
    <cellStyle name="Título 3 6" xfId="1656"/>
    <cellStyle name="Título 3 6 2" xfId="1657"/>
    <cellStyle name="Título 3 7" xfId="1658"/>
    <cellStyle name="Título 3 8" xfId="1659"/>
    <cellStyle name="Título 3 9" xfId="1660"/>
    <cellStyle name="Total" xfId="1661" builtinId="25" customBuiltin="1"/>
    <cellStyle name="Total 2" xfId="1662"/>
    <cellStyle name="Total 2 2" xfId="1663"/>
    <cellStyle name="Total 2 3" xfId="1664"/>
    <cellStyle name="Total 2 4" xfId="1665"/>
    <cellStyle name="Total 2 5" xfId="1666"/>
    <cellStyle name="Total 2 6" xfId="1667"/>
    <cellStyle name="Total 3" xfId="1668"/>
    <cellStyle name="Total 3 2" xfId="1669"/>
    <cellStyle name="Total 3 3" xfId="1670"/>
    <cellStyle name="Total 3 4" xfId="1671"/>
    <cellStyle name="Total 3 5" xfId="1672"/>
    <cellStyle name="Total 4" xfId="1673"/>
    <cellStyle name="Total 4 2" xfId="1674"/>
    <cellStyle name="Total 4 3" xfId="1675"/>
    <cellStyle name="Total 4 4" xfId="1676"/>
    <cellStyle name="Total 4 5" xfId="1677"/>
    <cellStyle name="Total 5" xfId="1678"/>
    <cellStyle name="Total 5 2" xfId="1679"/>
    <cellStyle name="Total 5 3" xfId="1680"/>
    <cellStyle name="Total 5 4" xfId="1681"/>
    <cellStyle name="Total 5 5" xfId="1682"/>
    <cellStyle name="Total 6" xfId="1683"/>
    <cellStyle name="Total 7" xfId="1684"/>
    <cellStyle name="Total 8" xfId="1685"/>
    <cellStyle name="Total 9" xfId="1686"/>
    <cellStyle name="Tytu?" xfId="1687"/>
    <cellStyle name="Tytuł" xfId="1688"/>
    <cellStyle name="Uwaga" xfId="1689"/>
    <cellStyle name="Warning Text" xfId="1690"/>
    <cellStyle name="Warning Text 2" xfId="1691"/>
    <cellStyle name="Warning Text 3" xfId="1692"/>
    <cellStyle name="Warning Text 4" xfId="1693"/>
    <cellStyle name="Warning Text 5" xfId="1694"/>
    <cellStyle name="Z?e" xfId="1695"/>
    <cellStyle name="Złe" xfId="16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55525</xdr:colOff>
      <xdr:row>46</xdr:row>
      <xdr:rowOff>27661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1925"/>
          <a:ext cx="13009525" cy="73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averty\Documents\IR\Deuda\310314\Grafico%20Deuda_31%20ma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4%20Diciembre%202013\An&#225;lisis%20Razonado\IAM\Analisis%20razonado%20IAM%20Dic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4\02%20Junio%202014\Hoja%20de%20Trabajo%20Iam\Cuadros%20Fecu%20IAM%2006_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4\01%20Marzo%202014\An&#225;lisis%20Razonado\IAM\Analisis%20razonado%20IAMC%20Mar%202014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10\Flujo%20de%20Efectivo%20Marzo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09\Flujo%20de%20Efectivo%20Marzo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erfil de Vcmto CLP"/>
      <sheetName val="Perfil de Vcmto USD"/>
      <sheetName val="Bancos"/>
      <sheetName val="Bancos AR"/>
      <sheetName val="Bonos"/>
      <sheetName val="Bonos AR"/>
      <sheetName val="AFR"/>
      <sheetName val="AFR AR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B11" t="str">
            <v>Bono</v>
          </cell>
          <cell r="C11">
            <v>0.69458701458906791</v>
          </cell>
          <cell r="F11" t="str">
            <v>Variable</v>
          </cell>
          <cell r="G11">
            <v>0.87349279413952119</v>
          </cell>
        </row>
        <row r="12">
          <cell r="B12" t="str">
            <v>Préstamos Bancarios</v>
          </cell>
          <cell r="C12">
            <v>0.12650720586047878</v>
          </cell>
          <cell r="F12" t="str">
            <v>Fija</v>
          </cell>
          <cell r="G12">
            <v>0.12650720586047878</v>
          </cell>
        </row>
        <row r="13">
          <cell r="B13" t="str">
            <v>AFRs</v>
          </cell>
          <cell r="C13">
            <v>0.17890577955045325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Fechas Indexaciones"/>
      <sheetName val="Cuadro Bce"/>
      <sheetName val="Indicadores"/>
      <sheetName val="Cuadro Resultado"/>
      <sheetName val="Cuadro Flujo"/>
      <sheetName val="Cuadros Gestión"/>
      <sheetName val="Nuevos cuadros"/>
      <sheetName val="Trimestral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D18">
            <v>402791320</v>
          </cell>
        </row>
        <row r="19">
          <cell r="D19">
            <v>221098572</v>
          </cell>
        </row>
        <row r="20">
          <cell r="D20">
            <v>148232829</v>
          </cell>
        </row>
        <row r="21">
          <cell r="D21">
            <v>-28886895</v>
          </cell>
        </row>
        <row r="22">
          <cell r="D22">
            <v>119336900</v>
          </cell>
        </row>
        <row r="23">
          <cell r="D23">
            <v>57647853</v>
          </cell>
        </row>
        <row r="24">
          <cell r="D24">
            <v>-29333029</v>
          </cell>
        </row>
        <row r="25">
          <cell r="D25">
            <v>-64721070</v>
          </cell>
        </row>
        <row r="28">
          <cell r="D28">
            <v>202592537</v>
          </cell>
        </row>
        <row r="29">
          <cell r="D29">
            <v>-119029257</v>
          </cell>
        </row>
        <row r="30">
          <cell r="D30">
            <v>-80470747</v>
          </cell>
        </row>
        <row r="31">
          <cell r="D31">
            <v>3092533</v>
          </cell>
        </row>
        <row r="32">
          <cell r="D32">
            <v>37206648</v>
          </cell>
        </row>
        <row r="35">
          <cell r="D35">
            <v>583787641</v>
          </cell>
        </row>
        <row r="39">
          <cell r="D39">
            <v>1819287669</v>
          </cell>
        </row>
        <row r="50">
          <cell r="C50">
            <v>402791320</v>
          </cell>
        </row>
        <row r="51">
          <cell r="C51">
            <v>-27416534</v>
          </cell>
        </row>
        <row r="52">
          <cell r="C52">
            <v>-40811406</v>
          </cell>
        </row>
        <row r="53">
          <cell r="C53">
            <v>-64721070</v>
          </cell>
        </row>
        <row r="54">
          <cell r="C54">
            <v>0</v>
          </cell>
        </row>
        <row r="55">
          <cell r="C55">
            <v>-88149562</v>
          </cell>
        </row>
        <row r="57">
          <cell r="C57">
            <v>7056285</v>
          </cell>
        </row>
        <row r="58">
          <cell r="C58">
            <v>-28886895</v>
          </cell>
        </row>
        <row r="59">
          <cell r="C59">
            <v>-1529</v>
          </cell>
        </row>
        <row r="60">
          <cell r="C60">
            <v>-12954456</v>
          </cell>
        </row>
        <row r="62">
          <cell r="C62">
            <v>1326676</v>
          </cell>
        </row>
        <row r="65">
          <cell r="C65">
            <v>-29333029</v>
          </cell>
        </row>
        <row r="66">
          <cell r="C66">
            <v>61251947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ovación Directorio"/>
      <sheetName val="Resultado 062013"/>
      <sheetName val="Balance 122013"/>
      <sheetName val="Resultado 062014"/>
      <sheetName val="Balance 062014"/>
      <sheetName val="Inicio"/>
      <sheetName val="Balance Resumido_062014"/>
      <sheetName val="Activo"/>
      <sheetName val="Pasivo"/>
      <sheetName val="Resultado Resumino_062014"/>
      <sheetName val="Resultado Resumido_062013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ón"/>
      <sheetName val="N25 Segmento"/>
      <sheetName val="N26 Medio ambie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7547630</v>
          </cell>
          <cell r="E6">
            <v>40299181</v>
          </cell>
        </row>
        <row r="7">
          <cell r="D7">
            <v>1953333</v>
          </cell>
          <cell r="E7">
            <v>232245</v>
          </cell>
        </row>
        <row r="8">
          <cell r="D8">
            <v>75137403</v>
          </cell>
          <cell r="E8">
            <v>87959258</v>
          </cell>
        </row>
        <row r="9">
          <cell r="D9">
            <v>72432</v>
          </cell>
          <cell r="E9">
            <v>38941</v>
          </cell>
        </row>
        <row r="10">
          <cell r="D10">
            <v>3360356</v>
          </cell>
          <cell r="E10">
            <v>3608089</v>
          </cell>
        </row>
        <row r="11">
          <cell r="D11">
            <v>701368</v>
          </cell>
          <cell r="E11">
            <v>2485107</v>
          </cell>
        </row>
        <row r="20">
          <cell r="D20">
            <v>7413197</v>
          </cell>
          <cell r="E20">
            <v>7413197</v>
          </cell>
        </row>
        <row r="21">
          <cell r="D21">
            <v>661650</v>
          </cell>
          <cell r="E21">
            <v>420067</v>
          </cell>
        </row>
        <row r="22">
          <cell r="D22">
            <v>1615861</v>
          </cell>
          <cell r="E22">
            <v>1879762</v>
          </cell>
        </row>
        <row r="23">
          <cell r="D23">
            <v>232805410</v>
          </cell>
          <cell r="E23">
            <v>227347269</v>
          </cell>
        </row>
        <row r="24">
          <cell r="D24">
            <v>307581431</v>
          </cell>
          <cell r="E24">
            <v>307581431</v>
          </cell>
        </row>
        <row r="25">
          <cell r="D25">
            <v>1167427974</v>
          </cell>
          <cell r="E25">
            <v>1171228114</v>
          </cell>
        </row>
        <row r="26">
          <cell r="D26">
            <v>4985994</v>
          </cell>
          <cell r="E26">
            <v>263122</v>
          </cell>
        </row>
      </sheetData>
      <sheetData sheetId="8">
        <row r="6">
          <cell r="D6">
            <v>47469399</v>
          </cell>
          <cell r="E6">
            <v>93620208</v>
          </cell>
        </row>
        <row r="7">
          <cell r="D7">
            <v>60468814</v>
          </cell>
          <cell r="E7">
            <v>98814724</v>
          </cell>
        </row>
        <row r="8">
          <cell r="D8">
            <v>11424000</v>
          </cell>
          <cell r="E8">
            <v>21941594</v>
          </cell>
        </row>
        <row r="9">
          <cell r="D9">
            <v>618684</v>
          </cell>
          <cell r="E9">
            <v>918556</v>
          </cell>
        </row>
        <row r="10">
          <cell r="D10">
            <v>1264910</v>
          </cell>
          <cell r="E10">
            <v>88462</v>
          </cell>
        </row>
        <row r="11">
          <cell r="D11">
            <v>2294549</v>
          </cell>
          <cell r="E11">
            <v>4267442</v>
          </cell>
        </row>
        <row r="12">
          <cell r="D12">
            <v>1985510</v>
          </cell>
          <cell r="E12">
            <v>1381524</v>
          </cell>
        </row>
        <row r="17">
          <cell r="D17">
            <v>699746555</v>
          </cell>
          <cell r="E17">
            <v>626272073</v>
          </cell>
        </row>
        <row r="18">
          <cell r="D18">
            <v>1885994</v>
          </cell>
          <cell r="E18">
            <v>1862609</v>
          </cell>
        </row>
        <row r="19">
          <cell r="D19">
            <v>1156071</v>
          </cell>
          <cell r="E19">
            <v>1118746</v>
          </cell>
        </row>
        <row r="20">
          <cell r="D20">
            <v>32851618</v>
          </cell>
          <cell r="E20">
            <v>34360206</v>
          </cell>
        </row>
        <row r="21">
          <cell r="D21">
            <v>9540413</v>
          </cell>
          <cell r="E21">
            <v>8542371</v>
          </cell>
        </row>
        <row r="22">
          <cell r="D22">
            <v>7313560</v>
          </cell>
          <cell r="E22">
            <v>7888047</v>
          </cell>
        </row>
        <row r="27">
          <cell r="D27">
            <v>468358402</v>
          </cell>
          <cell r="E27">
            <v>468358402</v>
          </cell>
        </row>
        <row r="28">
          <cell r="D28">
            <v>142477829</v>
          </cell>
          <cell r="E28">
            <v>149822099</v>
          </cell>
        </row>
        <row r="29">
          <cell r="D29">
            <v>-37268417</v>
          </cell>
          <cell r="E29">
            <v>-37268417</v>
          </cell>
        </row>
        <row r="31">
          <cell r="D31">
            <v>359676148</v>
          </cell>
          <cell r="E31">
            <v>368767137</v>
          </cell>
        </row>
      </sheetData>
      <sheetData sheetId="9"/>
      <sheetData sheetId="10"/>
      <sheetData sheetId="11">
        <row r="5">
          <cell r="D5">
            <v>221773656</v>
          </cell>
          <cell r="E5">
            <v>202381134</v>
          </cell>
        </row>
        <row r="6">
          <cell r="D6">
            <v>-13806238</v>
          </cell>
          <cell r="E6">
            <v>-13857832</v>
          </cell>
        </row>
        <row r="7">
          <cell r="D7">
            <v>-21561893</v>
          </cell>
          <cell r="E7">
            <v>-19951040</v>
          </cell>
        </row>
        <row r="8">
          <cell r="D8">
            <v>-31599517</v>
          </cell>
          <cell r="E8">
            <v>-32175525</v>
          </cell>
        </row>
        <row r="9">
          <cell r="D9">
            <v>-46923498</v>
          </cell>
          <cell r="E9">
            <v>-45652354</v>
          </cell>
        </row>
        <row r="10">
          <cell r="D10">
            <v>589947</v>
          </cell>
          <cell r="E10">
            <v>713880</v>
          </cell>
        </row>
        <row r="11">
          <cell r="D11">
            <v>2989207</v>
          </cell>
          <cell r="E11">
            <v>4396713</v>
          </cell>
        </row>
        <row r="12">
          <cell r="D12">
            <v>-14014702</v>
          </cell>
          <cell r="E12">
            <v>-14753879</v>
          </cell>
        </row>
        <row r="13">
          <cell r="D13">
            <v>-22467</v>
          </cell>
          <cell r="E13">
            <v>2140</v>
          </cell>
        </row>
        <row r="14">
          <cell r="D14">
            <v>-19021584</v>
          </cell>
          <cell r="E14">
            <v>-487521</v>
          </cell>
        </row>
        <row r="16">
          <cell r="D16">
            <v>-12919880</v>
          </cell>
          <cell r="E16">
            <v>-15962149</v>
          </cell>
        </row>
        <row r="22">
          <cell r="D22">
            <v>33717401</v>
          </cell>
          <cell r="E22">
            <v>33299517</v>
          </cell>
        </row>
        <row r="25">
          <cell r="D25">
            <v>31.765630000000002</v>
          </cell>
          <cell r="E25">
            <v>31.354050000000001</v>
          </cell>
        </row>
      </sheetData>
      <sheetData sheetId="12">
        <row r="5">
          <cell r="D5">
            <v>277154054</v>
          </cell>
          <cell r="E5">
            <v>249606593</v>
          </cell>
        </row>
        <row r="8">
          <cell r="D8">
            <v>496368</v>
          </cell>
          <cell r="E8">
            <v>957068</v>
          </cell>
        </row>
        <row r="9">
          <cell r="D9">
            <v>1640914</v>
          </cell>
          <cell r="E9">
            <v>1141071</v>
          </cell>
        </row>
        <row r="10">
          <cell r="D10">
            <v>-72565702</v>
          </cell>
          <cell r="E10">
            <v>-61928705</v>
          </cell>
        </row>
        <row r="12">
          <cell r="D12">
            <v>-24293659</v>
          </cell>
          <cell r="E12">
            <v>-22229700</v>
          </cell>
        </row>
        <row r="13">
          <cell r="D13">
            <v>-2795864</v>
          </cell>
          <cell r="E13">
            <v>-453878</v>
          </cell>
        </row>
        <row r="14">
          <cell r="D14">
            <v>-28303604</v>
          </cell>
          <cell r="E14">
            <v>-23282441</v>
          </cell>
        </row>
        <row r="17">
          <cell r="D17">
            <v>-9996806</v>
          </cell>
          <cell r="E17">
            <v>-10529173</v>
          </cell>
        </row>
        <row r="18">
          <cell r="D18">
            <v>957297</v>
          </cell>
          <cell r="E18">
            <v>1853656</v>
          </cell>
        </row>
        <row r="19">
          <cell r="D19">
            <v>-15848713</v>
          </cell>
          <cell r="E19">
            <v>-17054753</v>
          </cell>
        </row>
        <row r="20">
          <cell r="D20">
            <v>-2638845</v>
          </cell>
          <cell r="E20">
            <v>-820581</v>
          </cell>
        </row>
        <row r="30">
          <cell r="D30">
            <v>361626</v>
          </cell>
          <cell r="E30">
            <v>8103</v>
          </cell>
        </row>
        <row r="31">
          <cell r="D31">
            <v>-37960475</v>
          </cell>
          <cell r="E31">
            <v>-68451534</v>
          </cell>
        </row>
        <row r="33">
          <cell r="D33">
            <v>-25865</v>
          </cell>
          <cell r="E33">
            <v>-75609</v>
          </cell>
        </row>
        <row r="45">
          <cell r="D45">
            <v>-1204027</v>
          </cell>
          <cell r="E45">
            <v>-616865</v>
          </cell>
        </row>
        <row r="51">
          <cell r="D51">
            <v>55936570</v>
          </cell>
          <cell r="E51">
            <v>48883761</v>
          </cell>
        </row>
        <row r="52">
          <cell r="D52">
            <v>46753687</v>
          </cell>
          <cell r="E52">
            <v>0</v>
          </cell>
        </row>
        <row r="55">
          <cell r="D55">
            <v>-101286436</v>
          </cell>
          <cell r="E55">
            <v>-16842455</v>
          </cell>
        </row>
        <row r="59">
          <cell r="D59">
            <v>-118941530</v>
          </cell>
          <cell r="E59">
            <v>-88552330</v>
          </cell>
        </row>
        <row r="62">
          <cell r="D62">
            <v>-190541</v>
          </cell>
          <cell r="E62">
            <v>-204845</v>
          </cell>
        </row>
        <row r="67">
          <cell r="D67">
            <v>40299181</v>
          </cell>
          <cell r="E67">
            <v>37206648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Ingresos "/>
      <sheetName val="Cuadro Bce"/>
      <sheetName val="Indicadores"/>
      <sheetName val="Fechas Indexaciones"/>
      <sheetName val="Cuadro Flujo"/>
      <sheetName val="Cuadro Finanza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D20">
            <v>-9008276</v>
          </cell>
          <cell r="E20">
            <v>-9417339</v>
          </cell>
        </row>
        <row r="26">
          <cell r="D26">
            <v>21414746</v>
          </cell>
          <cell r="E26">
            <v>19934603</v>
          </cell>
        </row>
      </sheetData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R48"/>
  <sheetViews>
    <sheetView showGridLines="0" topLeftCell="A4" workbookViewId="0">
      <pane xSplit="2" ySplit="3" topLeftCell="E7" activePane="bottomRight" state="frozen"/>
      <selection activeCell="A4" sqref="A4"/>
      <selection pane="topRight" activeCell="C4" sqref="C4"/>
      <selection pane="bottomLeft" activeCell="A7" sqref="A7"/>
      <selection pane="bottomRight" activeCell="N7" sqref="N7"/>
    </sheetView>
  </sheetViews>
  <sheetFormatPr baseColWidth="10" defaultRowHeight="12.75"/>
  <cols>
    <col min="1" max="1" width="7.5703125" style="21" customWidth="1"/>
    <col min="2" max="2" width="68.5703125" style="21" customWidth="1"/>
    <col min="3" max="3" width="7.7109375" style="21" customWidth="1"/>
    <col min="4" max="5" width="13.85546875" style="21" customWidth="1"/>
    <col min="6" max="7" width="13.85546875" style="21" hidden="1" customWidth="1"/>
    <col min="8" max="10" width="11.42578125" style="21"/>
    <col min="11" max="12" width="12.140625" style="21" bestFit="1" customWidth="1"/>
    <col min="13" max="13" width="11.42578125" style="21"/>
    <col min="14" max="14" width="11.85546875" style="21" bestFit="1" customWidth="1"/>
    <col min="15" max="15" width="13.28515625" style="21" bestFit="1" customWidth="1"/>
    <col min="16" max="16384" width="11.42578125" style="21"/>
  </cols>
  <sheetData>
    <row r="1" spans="1:16" ht="9.75" customHeight="1"/>
    <row r="2" spans="1:16">
      <c r="B2" s="22" t="s">
        <v>153</v>
      </c>
      <c r="C2" s="23"/>
    </row>
    <row r="3" spans="1:16" ht="24.75" customHeight="1" thickBot="1">
      <c r="C3" s="23"/>
    </row>
    <row r="4" spans="1:16" ht="22.5" customHeight="1" thickBot="1">
      <c r="A4" s="16"/>
      <c r="B4" s="302" t="s">
        <v>154</v>
      </c>
      <c r="C4" s="303" t="s">
        <v>103</v>
      </c>
      <c r="D4" s="304">
        <v>41820</v>
      </c>
      <c r="E4" s="304">
        <v>41364</v>
      </c>
      <c r="F4" s="304" t="s">
        <v>278</v>
      </c>
      <c r="G4" s="304">
        <v>41364</v>
      </c>
      <c r="K4" s="304">
        <v>41820</v>
      </c>
      <c r="L4" s="304">
        <v>41364</v>
      </c>
      <c r="N4" s="304">
        <v>41820</v>
      </c>
      <c r="O4" s="304">
        <v>41364</v>
      </c>
    </row>
    <row r="5" spans="1:16" ht="15" customHeight="1" thickBot="1">
      <c r="B5" s="305" t="s">
        <v>155</v>
      </c>
      <c r="C5" s="306"/>
      <c r="D5" s="307" t="s">
        <v>5</v>
      </c>
      <c r="E5" s="307" t="s">
        <v>5</v>
      </c>
      <c r="F5" s="307" t="s">
        <v>5</v>
      </c>
      <c r="G5" s="307" t="s">
        <v>5</v>
      </c>
      <c r="K5" s="307" t="s">
        <v>5</v>
      </c>
      <c r="L5" s="307" t="s">
        <v>5</v>
      </c>
      <c r="N5" s="307" t="s">
        <v>5</v>
      </c>
      <c r="O5" s="307" t="s">
        <v>5</v>
      </c>
    </row>
    <row r="6" spans="1:16" ht="15" hidden="1" customHeight="1" thickBot="1">
      <c r="B6" s="308"/>
      <c r="C6" s="308"/>
      <c r="D6" s="309"/>
      <c r="E6" s="309"/>
      <c r="F6" s="309"/>
      <c r="G6" s="309"/>
      <c r="K6" s="309"/>
      <c r="L6" s="309"/>
      <c r="N6" s="309"/>
      <c r="O6" s="309"/>
    </row>
    <row r="7" spans="1:16" ht="15" customHeight="1" thickBot="1">
      <c r="B7" s="308" t="s">
        <v>101</v>
      </c>
      <c r="C7" s="310">
        <v>17</v>
      </c>
      <c r="D7" s="309">
        <f>+'[3]Estado de Resultado'!D5</f>
        <v>221773656</v>
      </c>
      <c r="E7" s="309">
        <f>+'[3]Estado de Resultado'!E5</f>
        <v>202381134</v>
      </c>
      <c r="F7" s="309"/>
      <c r="G7" s="309">
        <v>108283875</v>
      </c>
      <c r="H7" s="24">
        <f>+(D7-E7)/1000</f>
        <v>19392.522000000001</v>
      </c>
      <c r="I7" s="24"/>
      <c r="J7" s="24">
        <f t="shared" ref="J7:J17" si="0">+D7-E7</f>
        <v>19392522</v>
      </c>
      <c r="K7" s="309">
        <v>119479404</v>
      </c>
      <c r="L7" s="309">
        <v>108297302</v>
      </c>
      <c r="N7" s="309">
        <f>+D7-K7</f>
        <v>102294252</v>
      </c>
      <c r="O7" s="309">
        <f>+E7-L7</f>
        <v>94083832</v>
      </c>
      <c r="P7" s="24">
        <f>+N7-O7</f>
        <v>8210420</v>
      </c>
    </row>
    <row r="8" spans="1:16" ht="15" customHeight="1" thickBot="1">
      <c r="B8" s="308" t="s">
        <v>91</v>
      </c>
      <c r="C8" s="310"/>
      <c r="D8" s="309">
        <f>+'[3]Estado de Resultado'!D6</f>
        <v>-13806238</v>
      </c>
      <c r="E8" s="309">
        <f>+'[3]Estado de Resultado'!E6</f>
        <v>-13857832</v>
      </c>
      <c r="F8" s="309"/>
      <c r="G8" s="309">
        <v>-6812889</v>
      </c>
      <c r="H8" s="24">
        <f t="shared" ref="H8:H30" si="1">+(D8-E8)/1000</f>
        <v>51.594000000000001</v>
      </c>
      <c r="I8" s="24"/>
      <c r="J8" s="24">
        <f t="shared" si="0"/>
        <v>51594</v>
      </c>
      <c r="K8" s="309">
        <v>-7246868</v>
      </c>
      <c r="L8" s="309">
        <v>-6812889</v>
      </c>
      <c r="N8" s="309">
        <f t="shared" ref="N8:N17" si="2">+D8-K8</f>
        <v>-6559370</v>
      </c>
      <c r="O8" s="309">
        <f t="shared" ref="O8:O17" si="3">+E8-L8</f>
        <v>-7044943</v>
      </c>
      <c r="P8" s="24">
        <f t="shared" ref="P8:P27" si="4">+N8-O8</f>
        <v>485573</v>
      </c>
    </row>
    <row r="9" spans="1:16" ht="15" customHeight="1" thickBot="1">
      <c r="B9" s="308" t="s">
        <v>82</v>
      </c>
      <c r="C9" s="310">
        <v>19</v>
      </c>
      <c r="D9" s="309">
        <f>+'[3]Estado de Resultado'!D7</f>
        <v>-21561893</v>
      </c>
      <c r="E9" s="309">
        <f>+'[3]Estado de Resultado'!E7</f>
        <v>-19951040</v>
      </c>
      <c r="F9" s="309"/>
      <c r="G9" s="309">
        <v>-9492724</v>
      </c>
      <c r="H9" s="24">
        <f t="shared" si="1"/>
        <v>-1610.8530000000001</v>
      </c>
      <c r="I9" s="24"/>
      <c r="J9" s="24">
        <f t="shared" si="0"/>
        <v>-1610853</v>
      </c>
      <c r="K9" s="309">
        <v>-9951637</v>
      </c>
      <c r="L9" s="309">
        <v>-9568978</v>
      </c>
      <c r="N9" s="309">
        <f t="shared" si="2"/>
        <v>-11610256</v>
      </c>
      <c r="O9" s="309">
        <f t="shared" si="3"/>
        <v>-10382062</v>
      </c>
      <c r="P9" s="24">
        <f t="shared" si="4"/>
        <v>-1228194</v>
      </c>
    </row>
    <row r="10" spans="1:16" ht="15" customHeight="1" thickBot="1">
      <c r="B10" s="308" t="s">
        <v>83</v>
      </c>
      <c r="C10" s="311" t="s">
        <v>236</v>
      </c>
      <c r="D10" s="309">
        <f>+'[3]Estado de Resultado'!D8</f>
        <v>-31599517</v>
      </c>
      <c r="E10" s="309">
        <f>+'[3]Estado de Resultado'!E8</f>
        <v>-32175525</v>
      </c>
      <c r="F10" s="309"/>
      <c r="G10" s="309">
        <v>-15987669</v>
      </c>
      <c r="H10" s="24">
        <f t="shared" si="1"/>
        <v>576.00800000000004</v>
      </c>
      <c r="I10" s="24"/>
      <c r="J10" s="24">
        <f t="shared" si="0"/>
        <v>576008</v>
      </c>
      <c r="K10" s="309">
        <v>-15651639</v>
      </c>
      <c r="L10" s="309">
        <v>-15991664</v>
      </c>
      <c r="N10" s="309">
        <f t="shared" si="2"/>
        <v>-15947878</v>
      </c>
      <c r="O10" s="309">
        <f t="shared" si="3"/>
        <v>-16183861</v>
      </c>
      <c r="P10" s="24">
        <f t="shared" si="4"/>
        <v>235983</v>
      </c>
    </row>
    <row r="11" spans="1:16" ht="18.75" hidden="1" customHeight="1" thickBot="1">
      <c r="B11" s="312" t="s">
        <v>92</v>
      </c>
      <c r="C11" s="311" t="s">
        <v>237</v>
      </c>
      <c r="D11" s="309"/>
      <c r="E11" s="309"/>
      <c r="F11" s="309"/>
      <c r="G11" s="309">
        <v>0</v>
      </c>
      <c r="H11" s="24">
        <f t="shared" si="1"/>
        <v>0</v>
      </c>
      <c r="I11" s="24"/>
      <c r="J11" s="24">
        <f t="shared" si="0"/>
        <v>0</v>
      </c>
      <c r="K11" s="309"/>
      <c r="L11" s="309"/>
      <c r="N11" s="309">
        <f t="shared" si="2"/>
        <v>0</v>
      </c>
      <c r="O11" s="309">
        <f t="shared" si="3"/>
        <v>0</v>
      </c>
      <c r="P11" s="24">
        <f t="shared" si="4"/>
        <v>0</v>
      </c>
    </row>
    <row r="12" spans="1:16" ht="15" customHeight="1" thickBot="1">
      <c r="B12" s="308" t="s">
        <v>84</v>
      </c>
      <c r="C12" s="310">
        <v>21</v>
      </c>
      <c r="D12" s="309">
        <f>+'[3]Estado de Resultado'!D9</f>
        <v>-46923498</v>
      </c>
      <c r="E12" s="309">
        <f>+'[3]Estado de Resultado'!E9</f>
        <v>-45652354</v>
      </c>
      <c r="F12" s="309"/>
      <c r="G12" s="309">
        <v>-21624512</v>
      </c>
      <c r="H12" s="24">
        <f t="shared" si="1"/>
        <v>-1271.144</v>
      </c>
      <c r="I12" s="24"/>
      <c r="J12" s="24">
        <f t="shared" si="0"/>
        <v>-1271144</v>
      </c>
      <c r="K12" s="309">
        <v>-22800175</v>
      </c>
      <c r="L12" s="309">
        <v>-21790305</v>
      </c>
      <c r="N12" s="309">
        <f t="shared" si="2"/>
        <v>-24123323</v>
      </c>
      <c r="O12" s="309">
        <f t="shared" si="3"/>
        <v>-23862049</v>
      </c>
      <c r="P12" s="24">
        <f t="shared" si="4"/>
        <v>-261274</v>
      </c>
    </row>
    <row r="13" spans="1:16" ht="15" customHeight="1" thickBot="1">
      <c r="B13" s="308" t="s">
        <v>156</v>
      </c>
      <c r="C13" s="310">
        <v>5</v>
      </c>
      <c r="D13" s="309">
        <f>+'[3]Estado de Resultado'!D10</f>
        <v>589947</v>
      </c>
      <c r="E13" s="309">
        <f>+'[3]Estado de Resultado'!E10</f>
        <v>713880</v>
      </c>
      <c r="F13" s="309"/>
      <c r="G13" s="309">
        <v>558244</v>
      </c>
      <c r="H13" s="24">
        <f t="shared" si="1"/>
        <v>-123.93300000000001</v>
      </c>
      <c r="I13" s="24"/>
      <c r="J13" s="24">
        <f t="shared" si="0"/>
        <v>-123933</v>
      </c>
      <c r="K13" s="309">
        <v>526336</v>
      </c>
      <c r="L13" s="309">
        <v>558244</v>
      </c>
      <c r="N13" s="309">
        <f t="shared" si="2"/>
        <v>63611</v>
      </c>
      <c r="O13" s="309">
        <f t="shared" si="3"/>
        <v>155636</v>
      </c>
      <c r="P13" s="24">
        <f t="shared" si="4"/>
        <v>-92025</v>
      </c>
    </row>
    <row r="14" spans="1:16" ht="15" customHeight="1" thickBot="1">
      <c r="B14" s="308" t="s">
        <v>88</v>
      </c>
      <c r="C14" s="310">
        <v>5</v>
      </c>
      <c r="D14" s="309">
        <f>+'[3]Estado de Resultado'!D11</f>
        <v>2989207</v>
      </c>
      <c r="E14" s="309">
        <f>+'[3]Estado de Resultado'!E11</f>
        <v>4396713</v>
      </c>
      <c r="F14" s="309"/>
      <c r="G14" s="309">
        <v>1712902</v>
      </c>
      <c r="H14" s="24">
        <f t="shared" si="1"/>
        <v>-1407.5060000000001</v>
      </c>
      <c r="I14" s="24"/>
      <c r="J14" s="24">
        <f t="shared" si="0"/>
        <v>-1407506</v>
      </c>
      <c r="K14" s="309">
        <v>1412814</v>
      </c>
      <c r="L14" s="309">
        <v>1729666</v>
      </c>
      <c r="N14" s="309">
        <f t="shared" si="2"/>
        <v>1576393</v>
      </c>
      <c r="O14" s="309">
        <f t="shared" si="3"/>
        <v>2667047</v>
      </c>
      <c r="P14" s="24">
        <f t="shared" si="4"/>
        <v>-1090654</v>
      </c>
    </row>
    <row r="15" spans="1:16" ht="15" customHeight="1" thickBot="1">
      <c r="B15" s="308" t="s">
        <v>157</v>
      </c>
      <c r="C15" s="310">
        <v>5</v>
      </c>
      <c r="D15" s="309">
        <f>+'[3]Estado de Resultado'!D12</f>
        <v>-14014702</v>
      </c>
      <c r="E15" s="309">
        <f>+'[3]Estado de Resultado'!E12</f>
        <v>-14753879</v>
      </c>
      <c r="F15" s="309"/>
      <c r="G15" s="309">
        <v>-7245846</v>
      </c>
      <c r="H15" s="24">
        <f t="shared" si="1"/>
        <v>739.17700000000002</v>
      </c>
      <c r="I15" s="24"/>
      <c r="J15" s="24">
        <f t="shared" si="0"/>
        <v>739177</v>
      </c>
      <c r="K15" s="309">
        <v>-6768832</v>
      </c>
      <c r="L15" s="309">
        <v>-7246018</v>
      </c>
      <c r="N15" s="309">
        <f t="shared" si="2"/>
        <v>-7245870</v>
      </c>
      <c r="O15" s="309">
        <f t="shared" si="3"/>
        <v>-7507861</v>
      </c>
      <c r="P15" s="24">
        <f t="shared" si="4"/>
        <v>261991</v>
      </c>
    </row>
    <row r="16" spans="1:16" ht="15" customHeight="1" thickBot="1">
      <c r="B16" s="308" t="s">
        <v>158</v>
      </c>
      <c r="C16" s="310">
        <v>20</v>
      </c>
      <c r="D16" s="309">
        <f>+'[3]Estado de Resultado'!D13</f>
        <v>-22467</v>
      </c>
      <c r="E16" s="309">
        <f>+'[3]Estado de Resultado'!E13</f>
        <v>2140</v>
      </c>
      <c r="F16" s="309"/>
      <c r="G16" s="309">
        <v>9761</v>
      </c>
      <c r="H16" s="24">
        <f t="shared" si="1"/>
        <v>-24.606999999999999</v>
      </c>
      <c r="I16" s="24"/>
      <c r="J16" s="24">
        <f t="shared" si="0"/>
        <v>-24607</v>
      </c>
      <c r="K16" s="309">
        <v>-8390</v>
      </c>
      <c r="L16" s="309">
        <v>9691</v>
      </c>
      <c r="N16" s="309">
        <f t="shared" si="2"/>
        <v>-14077</v>
      </c>
      <c r="O16" s="309">
        <f t="shared" si="3"/>
        <v>-7551</v>
      </c>
      <c r="P16" s="24">
        <f t="shared" si="4"/>
        <v>-6526</v>
      </c>
    </row>
    <row r="17" spans="1:18" ht="15" customHeight="1" thickBot="1">
      <c r="B17" s="308" t="s">
        <v>159</v>
      </c>
      <c r="C17" s="310"/>
      <c r="D17" s="309">
        <f>+'[3]Estado de Resultado'!D14</f>
        <v>-19021584</v>
      </c>
      <c r="E17" s="309">
        <f>+'[3]Estado de Resultado'!E14</f>
        <v>-487521</v>
      </c>
      <c r="F17" s="309"/>
      <c r="G17" s="309">
        <v>-875993</v>
      </c>
      <c r="H17" s="24">
        <f t="shared" si="1"/>
        <v>-18534.062999999998</v>
      </c>
      <c r="I17" s="24"/>
      <c r="J17" s="24">
        <f t="shared" si="0"/>
        <v>-18534063</v>
      </c>
      <c r="K17" s="309">
        <v>-8264428</v>
      </c>
      <c r="L17" s="309">
        <v>-876035</v>
      </c>
      <c r="N17" s="309">
        <f t="shared" si="2"/>
        <v>-10757156</v>
      </c>
      <c r="O17" s="309">
        <f t="shared" si="3"/>
        <v>388514</v>
      </c>
      <c r="P17" s="24">
        <f t="shared" si="4"/>
        <v>-11145670</v>
      </c>
    </row>
    <row r="18" spans="1:18" ht="15" hidden="1" customHeight="1" thickBot="1">
      <c r="B18" s="308" t="s">
        <v>160</v>
      </c>
      <c r="C18" s="310"/>
      <c r="D18" s="309"/>
      <c r="E18" s="309"/>
      <c r="F18" s="309"/>
      <c r="G18" s="309"/>
      <c r="H18" s="24">
        <f t="shared" si="1"/>
        <v>0</v>
      </c>
      <c r="I18" s="24"/>
      <c r="J18" s="24"/>
      <c r="K18" s="309"/>
      <c r="L18" s="309"/>
      <c r="N18" s="309"/>
      <c r="O18" s="309"/>
      <c r="P18" s="24">
        <f t="shared" si="4"/>
        <v>0</v>
      </c>
    </row>
    <row r="19" spans="1:18" ht="15" customHeight="1" thickBot="1">
      <c r="B19" s="313" t="s">
        <v>161</v>
      </c>
      <c r="C19" s="314"/>
      <c r="D19" s="315">
        <f>SUM(D7:D17)</f>
        <v>78402911</v>
      </c>
      <c r="E19" s="315">
        <f>SUM(E7:E17)</f>
        <v>80615716</v>
      </c>
      <c r="F19" s="315">
        <v>0</v>
      </c>
      <c r="G19" s="315">
        <v>48525149</v>
      </c>
      <c r="H19" s="24">
        <f t="shared" si="1"/>
        <v>-2212.8049999999998</v>
      </c>
      <c r="I19" s="24"/>
      <c r="J19" s="24">
        <f>+D19*0.2</f>
        <v>15680582.200000001</v>
      </c>
      <c r="K19" s="315">
        <f>SUM(K7:K17)</f>
        <v>50726585</v>
      </c>
      <c r="L19" s="315">
        <f>SUM(L7:L17)</f>
        <v>48309014</v>
      </c>
      <c r="N19" s="315">
        <f>SUM(N7:N17)</f>
        <v>27676326</v>
      </c>
      <c r="O19" s="315">
        <f>SUM(O7:O17)</f>
        <v>32306702</v>
      </c>
      <c r="P19" s="24">
        <f t="shared" si="4"/>
        <v>-4630376</v>
      </c>
    </row>
    <row r="20" spans="1:18" ht="15" customHeight="1" thickBot="1">
      <c r="A20" s="25"/>
      <c r="B20" s="316" t="s">
        <v>162</v>
      </c>
      <c r="C20" s="310">
        <v>23</v>
      </c>
      <c r="D20" s="309">
        <f>+'[3]Estado de Resultado'!$D$16</f>
        <v>-12919880</v>
      </c>
      <c r="E20" s="309">
        <f>+'[3]Estado de Resultado'!$E$16</f>
        <v>-15962149</v>
      </c>
      <c r="F20" s="309"/>
      <c r="G20" s="309">
        <v>-9448837</v>
      </c>
      <c r="H20" s="24">
        <f t="shared" si="1"/>
        <v>3042.2689999999998</v>
      </c>
      <c r="I20" s="24"/>
      <c r="J20" s="24">
        <f t="shared" ref="J20:J28" si="5">+D20-E20</f>
        <v>3042269</v>
      </c>
      <c r="K20" s="309">
        <f>+[4]Resultado!$D$20</f>
        <v>-9008276</v>
      </c>
      <c r="L20" s="309">
        <f>+[4]Resultado!$E$20</f>
        <v>-9417339</v>
      </c>
      <c r="N20" s="309">
        <f t="shared" ref="N20" si="6">+D20-K20</f>
        <v>-3911604</v>
      </c>
      <c r="O20" s="309">
        <f t="shared" ref="O20" si="7">+E20-L20</f>
        <v>-6544810</v>
      </c>
      <c r="P20" s="24">
        <f t="shared" si="4"/>
        <v>2633206</v>
      </c>
    </row>
    <row r="21" spans="1:18" ht="15" customHeight="1" thickBot="1">
      <c r="B21" s="313" t="s">
        <v>163</v>
      </c>
      <c r="C21" s="306"/>
      <c r="D21" s="315">
        <f>+D20+D19</f>
        <v>65483031</v>
      </c>
      <c r="E21" s="315">
        <f>+E20+E19</f>
        <v>64653567</v>
      </c>
      <c r="F21" s="315">
        <v>0</v>
      </c>
      <c r="G21" s="315">
        <v>39076312</v>
      </c>
      <c r="H21" s="24">
        <f t="shared" si="1"/>
        <v>829.46400000000006</v>
      </c>
      <c r="I21" s="24"/>
      <c r="J21" s="24">
        <f t="shared" si="5"/>
        <v>829464</v>
      </c>
      <c r="K21" s="315">
        <f>+K20+K19</f>
        <v>41718309</v>
      </c>
      <c r="L21" s="315">
        <f>+L20+L19</f>
        <v>38891675</v>
      </c>
      <c r="N21" s="315">
        <f>+N20+N19</f>
        <v>23764722</v>
      </c>
      <c r="O21" s="315">
        <f>+O20+O19</f>
        <v>25761892</v>
      </c>
      <c r="P21" s="24">
        <f t="shared" si="4"/>
        <v>-1997170</v>
      </c>
    </row>
    <row r="22" spans="1:18" ht="9" customHeight="1" thickBot="1">
      <c r="B22" s="317"/>
      <c r="C22" s="318"/>
      <c r="D22" s="318"/>
      <c r="E22" s="319"/>
      <c r="F22" s="319"/>
      <c r="G22" s="319"/>
      <c r="H22" s="24">
        <f t="shared" si="1"/>
        <v>0</v>
      </c>
      <c r="I22" s="24"/>
      <c r="J22" s="24">
        <f t="shared" si="5"/>
        <v>0</v>
      </c>
      <c r="K22" s="318"/>
      <c r="L22" s="319"/>
      <c r="N22" s="318"/>
      <c r="O22" s="319"/>
      <c r="P22" s="24">
        <f t="shared" si="4"/>
        <v>0</v>
      </c>
    </row>
    <row r="23" spans="1:18" ht="15" customHeight="1" thickBot="1">
      <c r="B23" s="306" t="s">
        <v>164</v>
      </c>
      <c r="C23" s="306"/>
      <c r="D23" s="315">
        <f>+D21</f>
        <v>65483031</v>
      </c>
      <c r="E23" s="315">
        <f>+E21</f>
        <v>64653567</v>
      </c>
      <c r="F23" s="315">
        <v>0</v>
      </c>
      <c r="G23" s="315">
        <v>39076312</v>
      </c>
      <c r="H23" s="24">
        <f t="shared" si="1"/>
        <v>829.46400000000006</v>
      </c>
      <c r="I23" s="24"/>
      <c r="J23" s="24">
        <f t="shared" si="5"/>
        <v>829464</v>
      </c>
      <c r="K23" s="315">
        <f>+K21</f>
        <v>41718309</v>
      </c>
      <c r="L23" s="315">
        <f>+L21</f>
        <v>38891675</v>
      </c>
      <c r="N23" s="315">
        <f>+N21</f>
        <v>23764722</v>
      </c>
      <c r="O23" s="315">
        <f>+O21</f>
        <v>25761892</v>
      </c>
      <c r="P23" s="24">
        <f t="shared" si="4"/>
        <v>-1997170</v>
      </c>
    </row>
    <row r="24" spans="1:18" ht="20.25" customHeight="1" thickBot="1">
      <c r="B24" s="320" t="s">
        <v>165</v>
      </c>
      <c r="C24" s="308" t="s">
        <v>1</v>
      </c>
      <c r="D24" s="321"/>
      <c r="E24" s="322"/>
      <c r="F24" s="322"/>
      <c r="G24" s="322"/>
      <c r="H24" s="24">
        <f t="shared" si="1"/>
        <v>0</v>
      </c>
      <c r="I24" s="24"/>
      <c r="J24" s="24"/>
      <c r="K24" s="321"/>
      <c r="L24" s="322"/>
      <c r="N24" s="321"/>
      <c r="O24" s="322"/>
    </row>
    <row r="25" spans="1:18" ht="19.5" customHeight="1" thickBot="1">
      <c r="B25" s="323" t="s">
        <v>166</v>
      </c>
      <c r="C25" s="305"/>
      <c r="D25" s="324">
        <f>+D23-D26</f>
        <v>31765630</v>
      </c>
      <c r="E25" s="324">
        <f>+E23-E26</f>
        <v>31354050</v>
      </c>
      <c r="F25" s="324">
        <v>468864</v>
      </c>
      <c r="G25" s="324">
        <v>38205220</v>
      </c>
      <c r="H25" s="24">
        <f t="shared" si="1"/>
        <v>411.58</v>
      </c>
      <c r="I25" s="24"/>
      <c r="J25" s="24">
        <f t="shared" si="5"/>
        <v>411580</v>
      </c>
      <c r="K25" s="324">
        <f>+K23-K26</f>
        <v>20303563</v>
      </c>
      <c r="L25" s="324">
        <f>+L23-L26</f>
        <v>18957072</v>
      </c>
      <c r="N25" s="324">
        <f>+N23-N26</f>
        <v>11462067</v>
      </c>
      <c r="O25" s="324">
        <f>+O23-O26</f>
        <v>12396978</v>
      </c>
      <c r="P25" s="24">
        <f t="shared" si="4"/>
        <v>-934911</v>
      </c>
      <c r="Q25" s="354">
        <f>+P25/N25</f>
        <v>-8.1565654781114091E-2</v>
      </c>
      <c r="R25" s="21">
        <f>+N25*8.2%</f>
        <v>939889.49399999983</v>
      </c>
    </row>
    <row r="26" spans="1:18" ht="15" customHeight="1" thickBot="1">
      <c r="B26" s="308" t="s">
        <v>167</v>
      </c>
      <c r="C26" s="310">
        <v>4</v>
      </c>
      <c r="D26" s="309">
        <f>+'[3]Estado de Resultado'!D22</f>
        <v>33717401</v>
      </c>
      <c r="E26" s="309">
        <f>+'[3]Estado de Resultado'!E22</f>
        <v>33299517</v>
      </c>
      <c r="F26" s="309"/>
      <c r="G26" s="309">
        <v>871092</v>
      </c>
      <c r="H26" s="24">
        <f t="shared" si="1"/>
        <v>417.88400000000001</v>
      </c>
      <c r="I26" s="24"/>
      <c r="J26" s="24">
        <f t="shared" si="5"/>
        <v>417884</v>
      </c>
      <c r="K26" s="309">
        <f>+[4]Resultado!$D$26</f>
        <v>21414746</v>
      </c>
      <c r="L26" s="309">
        <f>+[4]Resultado!$E$26</f>
        <v>19934603</v>
      </c>
      <c r="N26" s="309">
        <f t="shared" ref="N26" si="8">+D26-K26</f>
        <v>12302655</v>
      </c>
      <c r="O26" s="309">
        <f t="shared" ref="O26" si="9">+E26-L26</f>
        <v>13364914</v>
      </c>
      <c r="P26" s="24">
        <f t="shared" si="4"/>
        <v>-1062259</v>
      </c>
    </row>
    <row r="27" spans="1:18" ht="15" customHeight="1" thickBot="1">
      <c r="B27" s="306" t="s">
        <v>168</v>
      </c>
      <c r="C27" s="306"/>
      <c r="D27" s="315">
        <f>+D26+D25</f>
        <v>65483031</v>
      </c>
      <c r="E27" s="315">
        <f>+E26+E25</f>
        <v>64653567</v>
      </c>
      <c r="F27" s="315">
        <v>468864</v>
      </c>
      <c r="G27" s="315">
        <v>39076312</v>
      </c>
      <c r="H27" s="24">
        <f t="shared" si="1"/>
        <v>829.46400000000006</v>
      </c>
      <c r="I27" s="24"/>
      <c r="J27" s="24">
        <f t="shared" si="5"/>
        <v>829464</v>
      </c>
      <c r="K27" s="315">
        <f>+K26+K25</f>
        <v>41718309</v>
      </c>
      <c r="L27" s="315">
        <f>+L26+L25</f>
        <v>38891675</v>
      </c>
      <c r="N27" s="315">
        <f>+N26+N25</f>
        <v>23764722</v>
      </c>
      <c r="O27" s="315">
        <f>+O26+O25</f>
        <v>25761892</v>
      </c>
      <c r="P27" s="24">
        <f t="shared" si="4"/>
        <v>-1997170</v>
      </c>
    </row>
    <row r="28" spans="1:18" ht="15" customHeight="1" thickBot="1">
      <c r="B28" s="325" t="s">
        <v>169</v>
      </c>
      <c r="C28" s="308"/>
      <c r="D28" s="318"/>
      <c r="E28" s="322"/>
      <c r="F28" s="322"/>
      <c r="G28" s="322"/>
      <c r="H28" s="24">
        <f t="shared" si="1"/>
        <v>0</v>
      </c>
      <c r="I28" s="24"/>
      <c r="J28" s="24">
        <f t="shared" si="5"/>
        <v>0</v>
      </c>
      <c r="K28" s="318"/>
      <c r="L28" s="322"/>
      <c r="N28" s="318"/>
      <c r="O28" s="322"/>
    </row>
    <row r="29" spans="1:18" ht="15" customHeight="1" thickBot="1">
      <c r="B29" s="308" t="s">
        <v>170</v>
      </c>
      <c r="C29" s="310"/>
      <c r="D29" s="326">
        <f>+'[3]Estado de Resultado'!$D$25</f>
        <v>31.765630000000002</v>
      </c>
      <c r="E29" s="326">
        <f>+'[3]Estado de Resultado'!$E$25</f>
        <v>31.354050000000001</v>
      </c>
      <c r="F29" s="326">
        <v>7.662472129519364E-2</v>
      </c>
      <c r="G29" s="326">
        <v>6.2437387697105304</v>
      </c>
      <c r="H29" s="24">
        <f t="shared" si="1"/>
        <v>4.1158000000000075E-4</v>
      </c>
      <c r="I29" s="24"/>
      <c r="J29" s="24"/>
      <c r="K29" s="326">
        <f>+'[3]Estado de Resultado'!$D$25</f>
        <v>31.765630000000002</v>
      </c>
      <c r="L29" s="326">
        <f>+'[3]Estado de Resultado'!$E$25</f>
        <v>31.354050000000001</v>
      </c>
      <c r="N29" s="326"/>
      <c r="O29" s="326"/>
    </row>
    <row r="30" spans="1:18" ht="15" customHeight="1" thickBot="1">
      <c r="B30" s="302" t="s">
        <v>171</v>
      </c>
      <c r="C30" s="314">
        <v>24</v>
      </c>
      <c r="D30" s="327">
        <f>+D29</f>
        <v>31.765630000000002</v>
      </c>
      <c r="E30" s="327">
        <f>+E29</f>
        <v>31.354050000000001</v>
      </c>
      <c r="F30" s="327">
        <v>7.662472129519364E-2</v>
      </c>
      <c r="G30" s="327">
        <v>6.2437387697105304</v>
      </c>
      <c r="H30" s="24">
        <f t="shared" si="1"/>
        <v>4.1158000000000075E-4</v>
      </c>
      <c r="I30" s="24"/>
      <c r="J30" s="24"/>
      <c r="K30" s="327">
        <f>+K29</f>
        <v>31.765630000000002</v>
      </c>
      <c r="L30" s="327">
        <f>+L29</f>
        <v>31.354050000000001</v>
      </c>
      <c r="N30" s="327"/>
      <c r="O30" s="327"/>
    </row>
    <row r="31" spans="1:18" ht="9" hidden="1" customHeight="1" thickBot="1">
      <c r="B31" s="76"/>
      <c r="C31" s="75"/>
      <c r="D31" s="75"/>
      <c r="E31" s="75"/>
      <c r="F31" s="27"/>
      <c r="G31" s="27"/>
      <c r="H31" s="24"/>
      <c r="I31" s="24"/>
      <c r="J31" s="24"/>
    </row>
    <row r="32" spans="1:18" ht="15" hidden="1" customHeight="1" thickBot="1">
      <c r="B32" s="57" t="s">
        <v>164</v>
      </c>
      <c r="C32" s="57"/>
      <c r="D32" s="54"/>
      <c r="E32" s="54"/>
      <c r="F32" s="18"/>
      <c r="G32" s="18"/>
      <c r="H32" s="24"/>
      <c r="I32" s="24"/>
      <c r="J32" s="24"/>
    </row>
    <row r="33" spans="2:10" ht="24.75" hidden="1" customHeight="1" thickBot="1">
      <c r="B33" s="77" t="s">
        <v>172</v>
      </c>
      <c r="C33" s="49" t="s">
        <v>1</v>
      </c>
      <c r="D33" s="74"/>
      <c r="E33" s="75"/>
      <c r="F33" s="26"/>
      <c r="G33" s="27"/>
      <c r="H33" s="24"/>
      <c r="I33" s="24"/>
      <c r="J33" s="24"/>
    </row>
    <row r="34" spans="2:10" ht="15.75" hidden="1" customHeight="1" thickBot="1">
      <c r="B34" s="49" t="s">
        <v>173</v>
      </c>
      <c r="C34" s="49"/>
      <c r="D34" s="36"/>
      <c r="E34" s="51"/>
      <c r="G34" s="17"/>
      <c r="H34" s="24"/>
      <c r="I34" s="24"/>
      <c r="J34" s="24"/>
    </row>
    <row r="35" spans="2:10" ht="16.5" hidden="1" customHeight="1" thickBot="1">
      <c r="B35" s="78" t="s">
        <v>174</v>
      </c>
      <c r="C35" s="49"/>
      <c r="D35" s="51"/>
      <c r="E35" s="63"/>
      <c r="F35" s="17"/>
      <c r="G35" s="20"/>
      <c r="H35" s="24"/>
      <c r="I35" s="24"/>
      <c r="J35" s="24"/>
    </row>
    <row r="36" spans="2:10" ht="15" hidden="1" customHeight="1" thickBot="1">
      <c r="B36" s="57" t="s">
        <v>175</v>
      </c>
      <c r="C36" s="57"/>
      <c r="D36" s="54"/>
      <c r="E36" s="54"/>
      <c r="F36" s="18"/>
      <c r="G36" s="18"/>
      <c r="H36" s="24"/>
      <c r="I36" s="24"/>
      <c r="J36" s="24"/>
    </row>
    <row r="37" spans="2:10" ht="9.75" hidden="1" customHeight="1" thickBot="1">
      <c r="B37" s="76"/>
      <c r="C37" s="46"/>
      <c r="D37" s="46"/>
      <c r="E37" s="46"/>
      <c r="F37" s="19"/>
      <c r="G37" s="19"/>
      <c r="H37" s="24"/>
      <c r="I37" s="24"/>
      <c r="J37" s="24"/>
    </row>
    <row r="38" spans="2:10" ht="26.25" hidden="1" customHeight="1" thickBot="1">
      <c r="B38" s="77" t="s">
        <v>176</v>
      </c>
      <c r="C38" s="79"/>
      <c r="D38" s="80"/>
      <c r="E38" s="80"/>
      <c r="F38" s="28"/>
      <c r="G38" s="28"/>
      <c r="H38" s="24"/>
      <c r="I38" s="24"/>
      <c r="J38" s="24"/>
    </row>
    <row r="39" spans="2:10" ht="21" hidden="1" customHeight="1" thickBot="1">
      <c r="B39" s="81" t="s">
        <v>177</v>
      </c>
      <c r="C39" s="57"/>
      <c r="D39" s="54"/>
      <c r="E39" s="54"/>
      <c r="F39" s="18"/>
      <c r="G39" s="18"/>
      <c r="H39" s="24"/>
      <c r="I39" s="24"/>
      <c r="J39" s="24"/>
    </row>
    <row r="40" spans="2:10" ht="17.25" hidden="1" customHeight="1" thickBot="1">
      <c r="B40" s="49" t="s">
        <v>178</v>
      </c>
      <c r="C40" s="49"/>
      <c r="D40" s="51"/>
      <c r="E40" s="51"/>
      <c r="F40" s="17"/>
      <c r="G40" s="17"/>
      <c r="H40" s="24"/>
      <c r="I40" s="24"/>
      <c r="J40" s="24"/>
    </row>
    <row r="41" spans="2:10" ht="13.5" hidden="1" customHeight="1" thickBot="1">
      <c r="B41" s="57" t="s">
        <v>179</v>
      </c>
      <c r="C41" s="57"/>
      <c r="D41" s="54"/>
      <c r="E41" s="54"/>
      <c r="F41" s="18"/>
      <c r="G41" s="18"/>
      <c r="H41" s="24"/>
      <c r="I41" s="24"/>
      <c r="J41" s="24"/>
    </row>
    <row r="42" spans="2:10">
      <c r="B42" s="36"/>
      <c r="C42" s="36"/>
      <c r="D42" s="36"/>
      <c r="E42" s="36"/>
      <c r="H42" s="24"/>
      <c r="I42" s="24"/>
      <c r="J42" s="24"/>
    </row>
    <row r="43" spans="2:10" ht="7.5" customHeight="1">
      <c r="B43" s="36"/>
      <c r="C43" s="36"/>
      <c r="D43" s="36"/>
      <c r="E43" s="36"/>
      <c r="H43" s="24"/>
      <c r="I43" s="24"/>
      <c r="J43" s="24"/>
    </row>
    <row r="44" spans="2:10" ht="11.25" customHeight="1">
      <c r="B44" s="36"/>
      <c r="C44" s="36"/>
      <c r="D44" s="36"/>
      <c r="E44" s="36"/>
      <c r="H44" s="24"/>
      <c r="I44" s="24"/>
      <c r="J44" s="24"/>
    </row>
    <row r="45" spans="2:10">
      <c r="B45" s="36"/>
      <c r="C45" s="36"/>
      <c r="D45" s="36"/>
      <c r="E45" s="36"/>
      <c r="H45" s="24"/>
      <c r="I45" s="24"/>
      <c r="J45" s="24"/>
    </row>
    <row r="46" spans="2:10">
      <c r="D46" s="24"/>
      <c r="F46" s="24"/>
    </row>
    <row r="47" spans="2:10">
      <c r="D47" s="24"/>
      <c r="F47" s="24"/>
    </row>
    <row r="48" spans="2:10">
      <c r="D48" s="24"/>
      <c r="F48" s="24"/>
    </row>
  </sheetData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J82"/>
  <sheetViews>
    <sheetView showGridLines="0" topLeftCell="A16" workbookViewId="0">
      <selection activeCell="F77" sqref="F77"/>
    </sheetView>
  </sheetViews>
  <sheetFormatPr baseColWidth="10" defaultRowHeight="12.75"/>
  <cols>
    <col min="1" max="1" width="7.42578125" style="31" customWidth="1"/>
    <col min="2" max="2" width="84.5703125" style="31" customWidth="1"/>
    <col min="3" max="3" width="7.5703125" style="30" customWidth="1"/>
    <col min="4" max="4" width="16.28515625" style="31" hidden="1" customWidth="1"/>
    <col min="5" max="5" width="16.5703125" style="31" hidden="1" customWidth="1"/>
    <col min="6" max="7" width="13.7109375" style="31" bestFit="1" customWidth="1"/>
    <col min="8" max="8" width="11.42578125" style="37"/>
    <col min="9" max="16384" width="11.42578125" style="31"/>
  </cols>
  <sheetData>
    <row r="1" spans="2:9">
      <c r="B1" s="29"/>
    </row>
    <row r="2" spans="2:9" ht="22.5" customHeight="1" thickBot="1"/>
    <row r="3" spans="2:9" ht="13.5" thickBot="1">
      <c r="B3" s="371" t="s">
        <v>180</v>
      </c>
      <c r="C3" s="373" t="s">
        <v>181</v>
      </c>
      <c r="D3" s="82"/>
      <c r="E3" s="82"/>
      <c r="F3" s="83">
        <v>41729</v>
      </c>
      <c r="G3" s="83">
        <v>41364</v>
      </c>
    </row>
    <row r="4" spans="2:9" ht="13.5" thickBot="1">
      <c r="B4" s="372"/>
      <c r="C4" s="374"/>
      <c r="D4" s="84" t="s">
        <v>287</v>
      </c>
      <c r="E4" s="84" t="s">
        <v>287</v>
      </c>
      <c r="F4" s="293" t="s">
        <v>286</v>
      </c>
      <c r="G4" s="85" t="s">
        <v>286</v>
      </c>
      <c r="H4" s="41" t="s">
        <v>288</v>
      </c>
    </row>
    <row r="5" spans="2:9" ht="18" customHeight="1" thickBot="1">
      <c r="B5" s="375" t="s">
        <v>182</v>
      </c>
      <c r="C5" s="376"/>
      <c r="D5" s="376"/>
      <c r="E5" s="376"/>
      <c r="F5" s="376"/>
      <c r="G5" s="377"/>
    </row>
    <row r="6" spans="2:9" s="32" customFormat="1" ht="18" customHeight="1" thickBot="1">
      <c r="B6" s="86" t="s">
        <v>183</v>
      </c>
      <c r="C6" s="87"/>
      <c r="D6" s="88">
        <v>125394214912</v>
      </c>
      <c r="E6" s="88">
        <v>111039717620.4024</v>
      </c>
      <c r="F6" s="88">
        <f>+'[3]Flujo '!D5</f>
        <v>277154054</v>
      </c>
      <c r="G6" s="88">
        <f>+'[3]Flujo '!E5</f>
        <v>249606593</v>
      </c>
      <c r="H6" s="340">
        <f>+(F6-G6)/1000</f>
        <v>27547.460999999999</v>
      </c>
      <c r="I6" s="31"/>
    </row>
    <row r="7" spans="2:9" s="32" customFormat="1" ht="18" hidden="1" customHeight="1" thickBot="1">
      <c r="B7" s="86" t="s">
        <v>185</v>
      </c>
      <c r="C7" s="87"/>
      <c r="D7" s="88">
        <v>29553022</v>
      </c>
      <c r="E7" s="88">
        <v>87052224</v>
      </c>
      <c r="F7" s="88"/>
      <c r="G7" s="88"/>
      <c r="H7" s="38">
        <f t="shared" ref="H7:H69" si="0">+(F7-G7)/1000</f>
        <v>0</v>
      </c>
      <c r="I7" s="31"/>
    </row>
    <row r="8" spans="2:9" s="32" customFormat="1" ht="18" customHeight="1" thickBot="1">
      <c r="B8" s="86" t="s">
        <v>184</v>
      </c>
      <c r="C8" s="87"/>
      <c r="D8" s="88">
        <v>0</v>
      </c>
      <c r="E8" s="88">
        <v>0</v>
      </c>
      <c r="F8" s="88"/>
      <c r="G8" s="88"/>
      <c r="H8" s="38">
        <f t="shared" si="0"/>
        <v>0</v>
      </c>
      <c r="I8" s="31"/>
    </row>
    <row r="9" spans="2:9" s="32" customFormat="1" ht="18" customHeight="1" thickBot="1">
      <c r="B9" s="86" t="s">
        <v>186</v>
      </c>
      <c r="C9" s="87"/>
      <c r="D9" s="88">
        <v>46812419</v>
      </c>
      <c r="E9" s="88">
        <v>54151529</v>
      </c>
      <c r="F9" s="88">
        <f>+'[3]Flujo '!D8</f>
        <v>496368</v>
      </c>
      <c r="G9" s="88">
        <f>+'[3]Flujo '!E8</f>
        <v>957068</v>
      </c>
      <c r="H9" s="38">
        <f t="shared" si="0"/>
        <v>-460.7</v>
      </c>
      <c r="I9" s="31"/>
    </row>
    <row r="10" spans="2:9" s="32" customFormat="1" ht="18" customHeight="1" thickBot="1">
      <c r="B10" s="86" t="s">
        <v>187</v>
      </c>
      <c r="C10" s="87"/>
      <c r="D10" s="88">
        <v>532893135</v>
      </c>
      <c r="E10" s="88">
        <v>500888416</v>
      </c>
      <c r="F10" s="88">
        <f>+'[3]Flujo '!D9</f>
        <v>1640914</v>
      </c>
      <c r="G10" s="88">
        <f>+'[3]Flujo '!E9</f>
        <v>1141071</v>
      </c>
      <c r="H10" s="38">
        <f t="shared" si="0"/>
        <v>499.84300000000002</v>
      </c>
    </row>
    <row r="11" spans="2:9" s="32" customFormat="1" ht="18" hidden="1" customHeight="1" thickBot="1">
      <c r="B11" s="378" t="s">
        <v>188</v>
      </c>
      <c r="C11" s="379"/>
      <c r="D11" s="379"/>
      <c r="E11" s="379"/>
      <c r="F11" s="379"/>
      <c r="G11" s="380"/>
      <c r="H11" s="38"/>
    </row>
    <row r="12" spans="2:9" s="32" customFormat="1" ht="18" customHeight="1" thickBot="1">
      <c r="B12" s="86" t="s">
        <v>189</v>
      </c>
      <c r="C12" s="87"/>
      <c r="D12" s="88">
        <v>-29671975518</v>
      </c>
      <c r="E12" s="88">
        <v>-27829853516</v>
      </c>
      <c r="F12" s="88">
        <f>+'[3]Flujo '!D10</f>
        <v>-72565702</v>
      </c>
      <c r="G12" s="88">
        <f>+'[3]Flujo '!E10</f>
        <v>-61928705</v>
      </c>
      <c r="H12" s="340">
        <f t="shared" si="0"/>
        <v>-10636.996999999999</v>
      </c>
    </row>
    <row r="13" spans="2:9" s="32" customFormat="1" ht="18" hidden="1" customHeight="1" thickBot="1">
      <c r="B13" s="86" t="s">
        <v>190</v>
      </c>
      <c r="C13" s="87"/>
      <c r="D13" s="88">
        <v>0</v>
      </c>
      <c r="E13" s="88">
        <v>0</v>
      </c>
      <c r="F13" s="88"/>
      <c r="G13" s="88"/>
      <c r="H13" s="38">
        <f t="shared" si="0"/>
        <v>0</v>
      </c>
    </row>
    <row r="14" spans="2:9" s="32" customFormat="1" ht="18" customHeight="1" thickBot="1">
      <c r="B14" s="86" t="s">
        <v>191</v>
      </c>
      <c r="C14" s="87"/>
      <c r="D14" s="88">
        <v>-12474545924</v>
      </c>
      <c r="E14" s="88">
        <v>-11664493353</v>
      </c>
      <c r="F14" s="88">
        <f>+'[3]Flujo '!D12</f>
        <v>-24293659</v>
      </c>
      <c r="G14" s="88">
        <f>+'[3]Flujo '!E12</f>
        <v>-22229700</v>
      </c>
      <c r="H14" s="38">
        <f t="shared" si="0"/>
        <v>-2063.9589999999998</v>
      </c>
    </row>
    <row r="15" spans="2:9" s="32" customFormat="1" ht="18" customHeight="1" thickBot="1">
      <c r="B15" s="86" t="s">
        <v>192</v>
      </c>
      <c r="C15" s="89"/>
      <c r="D15" s="88">
        <v>-40356920</v>
      </c>
      <c r="E15" s="88">
        <v>-3629207</v>
      </c>
      <c r="F15" s="88">
        <f>+'[3]Flujo '!D13</f>
        <v>-2795864</v>
      </c>
      <c r="G15" s="88">
        <f>+'[3]Flujo '!E13</f>
        <v>-453878</v>
      </c>
      <c r="H15" s="38">
        <f t="shared" si="0"/>
        <v>-2341.9859999999999</v>
      </c>
      <c r="I15" s="31"/>
    </row>
    <row r="16" spans="2:9" s="32" customFormat="1" ht="18" customHeight="1" thickBot="1">
      <c r="B16" s="86" t="s">
        <v>193</v>
      </c>
      <c r="C16" s="87"/>
      <c r="D16" s="88">
        <v>-11838137096</v>
      </c>
      <c r="E16" s="88">
        <v>-11328302524</v>
      </c>
      <c r="F16" s="88">
        <f>+'[3]Flujo '!D14</f>
        <v>-28303604</v>
      </c>
      <c r="G16" s="88">
        <f>+'[3]Flujo '!E14</f>
        <v>-23282441</v>
      </c>
      <c r="H16" s="340">
        <f t="shared" si="0"/>
        <v>-5021.1629999999996</v>
      </c>
      <c r="I16" s="31"/>
    </row>
    <row r="17" spans="2:10" s="32" customFormat="1" ht="18" hidden="1" customHeight="1" thickBot="1">
      <c r="B17" s="86" t="s">
        <v>194</v>
      </c>
      <c r="C17" s="87"/>
      <c r="D17" s="88">
        <v>0</v>
      </c>
      <c r="E17" s="88">
        <v>0</v>
      </c>
      <c r="F17" s="88"/>
      <c r="G17" s="88"/>
      <c r="H17" s="38">
        <f t="shared" si="0"/>
        <v>0</v>
      </c>
    </row>
    <row r="18" spans="2:10" s="32" customFormat="1" ht="18" hidden="1" customHeight="1" thickBot="1">
      <c r="B18" s="86" t="s">
        <v>195</v>
      </c>
      <c r="C18" s="87"/>
      <c r="D18" s="88">
        <v>0</v>
      </c>
      <c r="E18" s="88">
        <v>0</v>
      </c>
      <c r="F18" s="88"/>
      <c r="G18" s="88"/>
      <c r="H18" s="38">
        <f t="shared" si="0"/>
        <v>0</v>
      </c>
    </row>
    <row r="19" spans="2:10" s="32" customFormat="1" ht="18" customHeight="1" thickBot="1">
      <c r="B19" s="86" t="s">
        <v>196</v>
      </c>
      <c r="C19" s="87"/>
      <c r="D19" s="88">
        <v>-3685818487</v>
      </c>
      <c r="E19" s="88">
        <v>-5137079422</v>
      </c>
      <c r="F19" s="88">
        <f>+'[3]Flujo '!D17</f>
        <v>-9996806</v>
      </c>
      <c r="G19" s="88">
        <f>+'[3]Flujo '!E17</f>
        <v>-10529173</v>
      </c>
      <c r="H19" s="38">
        <f t="shared" si="0"/>
        <v>532.36699999999996</v>
      </c>
    </row>
    <row r="20" spans="2:10" s="32" customFormat="1" ht="18" customHeight="1" thickBot="1">
      <c r="B20" s="86" t="s">
        <v>197</v>
      </c>
      <c r="C20" s="87"/>
      <c r="D20" s="88">
        <v>404703651</v>
      </c>
      <c r="E20" s="88">
        <v>57149333</v>
      </c>
      <c r="F20" s="88">
        <f>+'[3]Flujo '!D18</f>
        <v>957297</v>
      </c>
      <c r="G20" s="88">
        <f>+'[3]Flujo '!E18</f>
        <v>1853656</v>
      </c>
      <c r="H20" s="38">
        <f t="shared" si="0"/>
        <v>-896.35900000000004</v>
      </c>
    </row>
    <row r="21" spans="2:10" s="32" customFormat="1" ht="18" customHeight="1" thickBot="1">
      <c r="B21" s="86" t="s">
        <v>198</v>
      </c>
      <c r="C21" s="87"/>
      <c r="D21" s="88">
        <v>-8999279951</v>
      </c>
      <c r="E21" s="88">
        <v>-8936102428.0529995</v>
      </c>
      <c r="F21" s="88">
        <f>+'[3]Flujo '!D19</f>
        <v>-15848713</v>
      </c>
      <c r="G21" s="88">
        <f>+'[3]Flujo '!E19</f>
        <v>-17054753</v>
      </c>
      <c r="H21" s="38">
        <f t="shared" si="0"/>
        <v>1206.04</v>
      </c>
      <c r="J21" s="266"/>
    </row>
    <row r="22" spans="2:10" s="32" customFormat="1" ht="18" customHeight="1" thickBot="1">
      <c r="B22" s="86" t="s">
        <v>199</v>
      </c>
      <c r="C22" s="87"/>
      <c r="D22" s="88">
        <v>-226252944</v>
      </c>
      <c r="E22" s="88">
        <v>-1146628457</v>
      </c>
      <c r="F22" s="88">
        <f>+'[3]Flujo '!D20</f>
        <v>-2638845</v>
      </c>
      <c r="G22" s="88">
        <f>+'[3]Flujo '!E20</f>
        <v>-820581</v>
      </c>
      <c r="H22" s="38">
        <f t="shared" si="0"/>
        <v>-1818.2639999999999</v>
      </c>
      <c r="J22" s="266"/>
    </row>
    <row r="23" spans="2:10" s="32" customFormat="1" ht="18" customHeight="1" thickBot="1">
      <c r="B23" s="90" t="s">
        <v>99</v>
      </c>
      <c r="C23" s="91"/>
      <c r="D23" s="92">
        <f>SUM(D6:D22)</f>
        <v>59471810299</v>
      </c>
      <c r="E23" s="92">
        <f>SUM(E6:E22)</f>
        <v>45692870215.349403</v>
      </c>
      <c r="F23" s="92">
        <f>SUM(F6:F22)</f>
        <v>123805440</v>
      </c>
      <c r="G23" s="92">
        <f>SUM(G6:G22)</f>
        <v>117259157</v>
      </c>
      <c r="H23" s="38">
        <f t="shared" si="0"/>
        <v>6546.2830000000004</v>
      </c>
      <c r="J23" s="266"/>
    </row>
    <row r="24" spans="2:10" s="32" customFormat="1" ht="18.75" hidden="1" customHeight="1" thickBot="1">
      <c r="B24" s="381"/>
      <c r="C24" s="382"/>
      <c r="D24" s="382"/>
      <c r="E24" s="382"/>
      <c r="F24" s="382"/>
      <c r="G24" s="383"/>
      <c r="H24" s="38"/>
    </row>
    <row r="25" spans="2:10" s="32" customFormat="1" ht="18" hidden="1" customHeight="1" thickBot="1">
      <c r="B25" s="86" t="s">
        <v>200</v>
      </c>
      <c r="C25" s="87"/>
      <c r="D25" s="88">
        <v>0</v>
      </c>
      <c r="E25" s="88">
        <v>0</v>
      </c>
      <c r="F25" s="93">
        <f t="shared" ref="F25:G32" si="1">+D25/1000</f>
        <v>0</v>
      </c>
      <c r="G25" s="93">
        <f t="shared" si="1"/>
        <v>0</v>
      </c>
      <c r="H25" s="38">
        <f t="shared" si="0"/>
        <v>0</v>
      </c>
    </row>
    <row r="26" spans="2:10" s="32" customFormat="1" ht="18" hidden="1" customHeight="1" thickBot="1">
      <c r="B26" s="86" t="s">
        <v>201</v>
      </c>
      <c r="C26" s="87"/>
      <c r="D26" s="88">
        <v>0</v>
      </c>
      <c r="E26" s="88">
        <v>0</v>
      </c>
      <c r="F26" s="93">
        <f t="shared" si="1"/>
        <v>0</v>
      </c>
      <c r="G26" s="93">
        <f t="shared" si="1"/>
        <v>0</v>
      </c>
      <c r="H26" s="38">
        <f t="shared" si="0"/>
        <v>0</v>
      </c>
    </row>
    <row r="27" spans="2:10" s="32" customFormat="1" ht="18" hidden="1" customHeight="1" thickBot="1">
      <c r="B27" s="86" t="s">
        <v>202</v>
      </c>
      <c r="C27" s="87"/>
      <c r="D27" s="88">
        <v>0</v>
      </c>
      <c r="E27" s="88">
        <v>0</v>
      </c>
      <c r="F27" s="93">
        <f t="shared" si="1"/>
        <v>0</v>
      </c>
      <c r="G27" s="93">
        <f t="shared" si="1"/>
        <v>0</v>
      </c>
      <c r="H27" s="38">
        <f t="shared" si="0"/>
        <v>0</v>
      </c>
    </row>
    <row r="28" spans="2:10" s="32" customFormat="1" ht="18" hidden="1" customHeight="1" thickBot="1">
      <c r="B28" s="86" t="s">
        <v>203</v>
      </c>
      <c r="C28" s="87"/>
      <c r="D28" s="88">
        <v>0</v>
      </c>
      <c r="E28" s="88">
        <v>0</v>
      </c>
      <c r="F28" s="93">
        <f t="shared" si="1"/>
        <v>0</v>
      </c>
      <c r="G28" s="93">
        <f t="shared" si="1"/>
        <v>0</v>
      </c>
      <c r="H28" s="38">
        <f t="shared" si="0"/>
        <v>0</v>
      </c>
    </row>
    <row r="29" spans="2:10" s="32" customFormat="1" ht="18" hidden="1" customHeight="1" thickBot="1">
      <c r="B29" s="86" t="s">
        <v>204</v>
      </c>
      <c r="C29" s="87"/>
      <c r="D29" s="88">
        <v>0</v>
      </c>
      <c r="E29" s="88">
        <v>0</v>
      </c>
      <c r="F29" s="93">
        <f t="shared" si="1"/>
        <v>0</v>
      </c>
      <c r="G29" s="93">
        <f t="shared" si="1"/>
        <v>0</v>
      </c>
      <c r="H29" s="38">
        <f t="shared" si="0"/>
        <v>0</v>
      </c>
    </row>
    <row r="30" spans="2:10" s="32" customFormat="1" ht="18" hidden="1" customHeight="1" thickBot="1">
      <c r="B30" s="86" t="s">
        <v>205</v>
      </c>
      <c r="C30" s="87"/>
      <c r="D30" s="88">
        <v>0</v>
      </c>
      <c r="E30" s="88">
        <v>0</v>
      </c>
      <c r="F30" s="93">
        <f t="shared" si="1"/>
        <v>0</v>
      </c>
      <c r="G30" s="93">
        <f t="shared" si="1"/>
        <v>0</v>
      </c>
      <c r="H30" s="38">
        <f t="shared" si="0"/>
        <v>0</v>
      </c>
    </row>
    <row r="31" spans="2:10" s="32" customFormat="1" ht="18" hidden="1" customHeight="1" thickBot="1">
      <c r="B31" s="86" t="s">
        <v>206</v>
      </c>
      <c r="C31" s="87"/>
      <c r="D31" s="88">
        <v>0</v>
      </c>
      <c r="E31" s="88">
        <v>0</v>
      </c>
      <c r="F31" s="93">
        <f t="shared" si="1"/>
        <v>0</v>
      </c>
      <c r="G31" s="93">
        <f t="shared" si="1"/>
        <v>0</v>
      </c>
      <c r="H31" s="38">
        <f t="shared" si="0"/>
        <v>0</v>
      </c>
    </row>
    <row r="32" spans="2:10" s="32" customFormat="1" ht="18" hidden="1" customHeight="1" thickBot="1">
      <c r="B32" s="86" t="s">
        <v>207</v>
      </c>
      <c r="C32" s="87"/>
      <c r="D32" s="88">
        <v>0</v>
      </c>
      <c r="E32" s="88">
        <v>0</v>
      </c>
      <c r="F32" s="93">
        <f t="shared" si="1"/>
        <v>0</v>
      </c>
      <c r="G32" s="93">
        <f t="shared" si="1"/>
        <v>0</v>
      </c>
      <c r="H32" s="38">
        <f t="shared" si="0"/>
        <v>0</v>
      </c>
    </row>
    <row r="33" spans="2:10" s="32" customFormat="1" ht="18" customHeight="1" thickBot="1">
      <c r="B33" s="86" t="s">
        <v>208</v>
      </c>
      <c r="C33" s="87"/>
      <c r="D33" s="88">
        <v>195217233</v>
      </c>
      <c r="E33" s="88">
        <v>29828261</v>
      </c>
      <c r="F33" s="93">
        <f>+'[3]Flujo '!D30</f>
        <v>361626</v>
      </c>
      <c r="G33" s="93">
        <f>+'[3]Flujo '!E30</f>
        <v>8103</v>
      </c>
      <c r="H33" s="38">
        <f t="shared" si="0"/>
        <v>353.52300000000002</v>
      </c>
      <c r="J33" s="266"/>
    </row>
    <row r="34" spans="2:10" s="32" customFormat="1" ht="18" customHeight="1" thickBot="1">
      <c r="B34" s="86" t="s">
        <v>209</v>
      </c>
      <c r="C34" s="87"/>
      <c r="D34" s="88">
        <v>-29446099909</v>
      </c>
      <c r="E34" s="88">
        <v>-21783530578.310001</v>
      </c>
      <c r="F34" s="88">
        <f>+'[3]Flujo '!D31</f>
        <v>-37960475</v>
      </c>
      <c r="G34" s="88">
        <f>+'[3]Flujo '!E31</f>
        <v>-68451534</v>
      </c>
      <c r="H34" s="38">
        <f t="shared" si="0"/>
        <v>30491.059000000001</v>
      </c>
    </row>
    <row r="35" spans="2:10" s="32" customFormat="1" ht="18" hidden="1" customHeight="1" thickBot="1">
      <c r="B35" s="86" t="s">
        <v>210</v>
      </c>
      <c r="C35" s="87"/>
      <c r="D35" s="88">
        <v>0</v>
      </c>
      <c r="E35" s="88">
        <v>0</v>
      </c>
      <c r="F35" s="88"/>
      <c r="G35" s="88"/>
      <c r="H35" s="38">
        <f t="shared" si="0"/>
        <v>0</v>
      </c>
    </row>
    <row r="36" spans="2:10" s="32" customFormat="1" ht="18" customHeight="1" thickBot="1">
      <c r="B36" s="86" t="s">
        <v>211</v>
      </c>
      <c r="C36" s="87"/>
      <c r="D36" s="88">
        <v>-5000000</v>
      </c>
      <c r="E36" s="88">
        <v>-38296528</v>
      </c>
      <c r="F36" s="88">
        <f>+'[3]Flujo '!D33</f>
        <v>-25865</v>
      </c>
      <c r="G36" s="88">
        <f>+'[3]Flujo '!E33</f>
        <v>-75609</v>
      </c>
      <c r="H36" s="38">
        <f t="shared" si="0"/>
        <v>49.744</v>
      </c>
    </row>
    <row r="37" spans="2:10" s="32" customFormat="1" ht="18" hidden="1" customHeight="1" thickBot="1">
      <c r="B37" s="86" t="s">
        <v>212</v>
      </c>
      <c r="C37" s="87"/>
      <c r="D37" s="88">
        <v>0</v>
      </c>
      <c r="E37" s="88">
        <v>0</v>
      </c>
      <c r="F37" s="88"/>
      <c r="G37" s="88"/>
      <c r="H37" s="38">
        <f t="shared" si="0"/>
        <v>0</v>
      </c>
    </row>
    <row r="38" spans="2:10" s="32" customFormat="1" ht="18" hidden="1" customHeight="1" thickBot="1">
      <c r="B38" s="86" t="s">
        <v>213</v>
      </c>
      <c r="C38" s="87"/>
      <c r="D38" s="88">
        <v>0</v>
      </c>
      <c r="E38" s="88">
        <v>0</v>
      </c>
      <c r="F38" s="88"/>
      <c r="G38" s="88"/>
      <c r="H38" s="38">
        <f t="shared" si="0"/>
        <v>0</v>
      </c>
    </row>
    <row r="39" spans="2:10" s="32" customFormat="1" ht="18" hidden="1" customHeight="1" thickBot="1">
      <c r="B39" s="86" t="s">
        <v>214</v>
      </c>
      <c r="C39" s="87"/>
      <c r="D39" s="88">
        <v>0</v>
      </c>
      <c r="E39" s="88">
        <v>0</v>
      </c>
      <c r="F39" s="88"/>
      <c r="G39" s="88"/>
      <c r="H39" s="38">
        <f t="shared" si="0"/>
        <v>0</v>
      </c>
    </row>
    <row r="40" spans="2:10" s="32" customFormat="1" ht="18" hidden="1" customHeight="1" thickBot="1">
      <c r="B40" s="86" t="s">
        <v>215</v>
      </c>
      <c r="C40" s="87"/>
      <c r="D40" s="88">
        <v>0</v>
      </c>
      <c r="E40" s="88">
        <v>0</v>
      </c>
      <c r="F40" s="88"/>
      <c r="G40" s="88"/>
      <c r="H40" s="38">
        <f t="shared" si="0"/>
        <v>0</v>
      </c>
    </row>
    <row r="41" spans="2:10" s="32" customFormat="1" ht="18" hidden="1" customHeight="1" thickBot="1">
      <c r="B41" s="86" t="s">
        <v>216</v>
      </c>
      <c r="C41" s="87"/>
      <c r="D41" s="88">
        <v>0</v>
      </c>
      <c r="E41" s="88">
        <v>0</v>
      </c>
      <c r="F41" s="88"/>
      <c r="G41" s="88"/>
      <c r="H41" s="38">
        <f t="shared" si="0"/>
        <v>0</v>
      </c>
    </row>
    <row r="42" spans="2:10" s="32" customFormat="1" ht="18" hidden="1" customHeight="1" thickBot="1">
      <c r="B42" s="86" t="s">
        <v>217</v>
      </c>
      <c r="C42" s="87"/>
      <c r="D42" s="88">
        <v>0</v>
      </c>
      <c r="E42" s="88">
        <v>0</v>
      </c>
      <c r="F42" s="88"/>
      <c r="G42" s="88"/>
      <c r="H42" s="38">
        <f t="shared" si="0"/>
        <v>0</v>
      </c>
    </row>
    <row r="43" spans="2:10" s="32" customFormat="1" ht="18" hidden="1" customHeight="1" thickBot="1">
      <c r="B43" s="86" t="s">
        <v>218</v>
      </c>
      <c r="C43" s="87"/>
      <c r="D43" s="88">
        <v>0</v>
      </c>
      <c r="E43" s="88">
        <v>0</v>
      </c>
      <c r="F43" s="88"/>
      <c r="G43" s="88"/>
      <c r="H43" s="38">
        <f t="shared" si="0"/>
        <v>0</v>
      </c>
    </row>
    <row r="44" spans="2:10" s="32" customFormat="1" ht="18" hidden="1" customHeight="1" thickBot="1">
      <c r="B44" s="86" t="s">
        <v>199</v>
      </c>
      <c r="C44" s="87"/>
      <c r="D44" s="88">
        <v>0</v>
      </c>
      <c r="E44" s="88">
        <v>0</v>
      </c>
      <c r="F44" s="88"/>
      <c r="G44" s="88"/>
      <c r="H44" s="38">
        <f t="shared" si="0"/>
        <v>0</v>
      </c>
    </row>
    <row r="45" spans="2:10" s="32" customFormat="1" ht="13.5" hidden="1" customHeight="1" thickBot="1">
      <c r="B45" s="94" t="s">
        <v>195</v>
      </c>
      <c r="C45" s="87"/>
      <c r="D45" s="88">
        <v>0</v>
      </c>
      <c r="E45" s="88">
        <v>0</v>
      </c>
      <c r="F45" s="88"/>
      <c r="G45" s="88"/>
      <c r="H45" s="38">
        <f t="shared" si="0"/>
        <v>0</v>
      </c>
    </row>
    <row r="46" spans="2:10" s="32" customFormat="1" ht="18" hidden="1" customHeight="1" thickBot="1">
      <c r="B46" s="94" t="s">
        <v>197</v>
      </c>
      <c r="C46" s="87"/>
      <c r="D46" s="88">
        <v>0</v>
      </c>
      <c r="E46" s="88">
        <v>0</v>
      </c>
      <c r="F46" s="88"/>
      <c r="G46" s="88"/>
      <c r="H46" s="38">
        <f t="shared" si="0"/>
        <v>0</v>
      </c>
    </row>
    <row r="47" spans="2:10" s="32" customFormat="1" ht="13.5" hidden="1" customHeight="1" thickBot="1">
      <c r="B47" s="86" t="s">
        <v>219</v>
      </c>
      <c r="C47" s="87"/>
      <c r="D47" s="88">
        <v>0</v>
      </c>
      <c r="E47" s="88">
        <v>0</v>
      </c>
      <c r="F47" s="88"/>
      <c r="G47" s="88"/>
      <c r="H47" s="38">
        <f t="shared" si="0"/>
        <v>0</v>
      </c>
    </row>
    <row r="48" spans="2:10" s="32" customFormat="1" ht="18" customHeight="1" thickBot="1">
      <c r="B48" s="86" t="s">
        <v>220</v>
      </c>
      <c r="C48" s="87"/>
      <c r="D48" s="88">
        <v>-3159839220</v>
      </c>
      <c r="E48" s="88">
        <v>0</v>
      </c>
      <c r="F48" s="93">
        <f>+'[3]Flujo '!D45</f>
        <v>-1204027</v>
      </c>
      <c r="G48" s="93">
        <f>+'[3]Flujo '!E45</f>
        <v>-616865</v>
      </c>
      <c r="H48" s="38">
        <f t="shared" si="0"/>
        <v>-587.16200000000003</v>
      </c>
    </row>
    <row r="49" spans="2:8" s="32" customFormat="1" ht="18" customHeight="1" thickBot="1">
      <c r="B49" s="90" t="s">
        <v>98</v>
      </c>
      <c r="C49" s="91"/>
      <c r="D49" s="92">
        <f>SUM(D27:D48)</f>
        <v>-32415721896</v>
      </c>
      <c r="E49" s="92">
        <f>SUM(E27:E48)</f>
        <v>-21791998845.310001</v>
      </c>
      <c r="F49" s="92">
        <f>SUM(F27:F48)</f>
        <v>-38828741</v>
      </c>
      <c r="G49" s="92">
        <f>SUM(G25:G48)</f>
        <v>-69135905</v>
      </c>
      <c r="H49" s="38">
        <f t="shared" si="0"/>
        <v>30307.164000000001</v>
      </c>
    </row>
    <row r="50" spans="2:8" s="32" customFormat="1" ht="6.75" hidden="1" customHeight="1" thickBot="1">
      <c r="B50" s="381"/>
      <c r="C50" s="382"/>
      <c r="D50" s="382"/>
      <c r="E50" s="382"/>
      <c r="F50" s="382"/>
      <c r="G50" s="383"/>
      <c r="H50" s="38"/>
    </row>
    <row r="51" spans="2:8" s="32" customFormat="1" ht="18" hidden="1" customHeight="1" thickBot="1">
      <c r="B51" s="86" t="s">
        <v>221</v>
      </c>
      <c r="C51" s="87"/>
      <c r="D51" s="88">
        <v>0</v>
      </c>
      <c r="E51" s="88">
        <v>0</v>
      </c>
      <c r="F51" s="93">
        <f t="shared" ref="F51:G54" si="2">+D51/1000</f>
        <v>0</v>
      </c>
      <c r="G51" s="93">
        <f t="shared" si="2"/>
        <v>0</v>
      </c>
      <c r="H51" s="38">
        <f t="shared" si="0"/>
        <v>0</v>
      </c>
    </row>
    <row r="52" spans="2:8" s="32" customFormat="1" ht="18" hidden="1" customHeight="1" thickBot="1">
      <c r="B52" s="86" t="s">
        <v>222</v>
      </c>
      <c r="C52" s="87"/>
      <c r="D52" s="88">
        <v>0</v>
      </c>
      <c r="E52" s="88">
        <v>0</v>
      </c>
      <c r="F52" s="93">
        <f t="shared" si="2"/>
        <v>0</v>
      </c>
      <c r="G52" s="93">
        <f t="shared" si="2"/>
        <v>0</v>
      </c>
      <c r="H52" s="38">
        <f t="shared" si="0"/>
        <v>0</v>
      </c>
    </row>
    <row r="53" spans="2:8" s="32" customFormat="1" ht="18" hidden="1" customHeight="1" thickBot="1">
      <c r="B53" s="86" t="s">
        <v>223</v>
      </c>
      <c r="C53" s="87"/>
      <c r="D53" s="88">
        <v>0</v>
      </c>
      <c r="E53" s="88">
        <v>0</v>
      </c>
      <c r="F53" s="93">
        <f t="shared" si="2"/>
        <v>0</v>
      </c>
      <c r="G53" s="93">
        <f t="shared" si="2"/>
        <v>0</v>
      </c>
      <c r="H53" s="38">
        <f t="shared" si="0"/>
        <v>0</v>
      </c>
    </row>
    <row r="54" spans="2:8" s="32" customFormat="1" ht="18" hidden="1" customHeight="1" thickBot="1">
      <c r="B54" s="86" t="s">
        <v>224</v>
      </c>
      <c r="C54" s="87"/>
      <c r="D54" s="88">
        <v>0</v>
      </c>
      <c r="E54" s="88">
        <v>0</v>
      </c>
      <c r="F54" s="93">
        <f t="shared" si="2"/>
        <v>0</v>
      </c>
      <c r="G54" s="93">
        <f t="shared" si="2"/>
        <v>0</v>
      </c>
      <c r="H54" s="38">
        <f t="shared" si="0"/>
        <v>0</v>
      </c>
    </row>
    <row r="55" spans="2:8" s="32" customFormat="1" ht="18" customHeight="1" thickBot="1">
      <c r="B55" s="95" t="s">
        <v>225</v>
      </c>
      <c r="C55" s="87"/>
      <c r="D55" s="88">
        <v>39938921804</v>
      </c>
      <c r="E55" s="88">
        <v>1281630268</v>
      </c>
      <c r="F55" s="88">
        <f>+'[3]Flujo '!D51</f>
        <v>55936570</v>
      </c>
      <c r="G55" s="88">
        <f>+'[3]Flujo '!E51</f>
        <v>48883761</v>
      </c>
      <c r="H55" s="38">
        <f t="shared" si="0"/>
        <v>7052.8090000000002</v>
      </c>
    </row>
    <row r="56" spans="2:8" s="32" customFormat="1" ht="18" customHeight="1" thickBot="1">
      <c r="B56" s="95" t="s">
        <v>226</v>
      </c>
      <c r="C56" s="87"/>
      <c r="D56" s="88">
        <v>2814985114</v>
      </c>
      <c r="E56" s="88">
        <v>3952182137</v>
      </c>
      <c r="F56" s="88">
        <f>+'[3]Flujo '!D52</f>
        <v>46753687</v>
      </c>
      <c r="G56" s="88">
        <f>+'[3]Flujo '!E52</f>
        <v>0</v>
      </c>
      <c r="H56" s="340">
        <f t="shared" si="0"/>
        <v>46753.686999999998</v>
      </c>
    </row>
    <row r="57" spans="2:8" s="32" customFormat="1" ht="18" hidden="1" customHeight="1" thickBot="1">
      <c r="B57" s="96" t="s">
        <v>227</v>
      </c>
      <c r="C57" s="89"/>
      <c r="D57" s="97">
        <f>SUM(D51:D56)</f>
        <v>42753906918</v>
      </c>
      <c r="E57" s="97">
        <f>SUM(E51:E56)</f>
        <v>5233812405</v>
      </c>
      <c r="F57" s="97">
        <f>+F56+F55</f>
        <v>102690257</v>
      </c>
      <c r="G57" s="97">
        <f>+G56+G55</f>
        <v>48883761</v>
      </c>
      <c r="H57" s="38">
        <f t="shared" si="0"/>
        <v>53806.495999999999</v>
      </c>
    </row>
    <row r="58" spans="2:8" s="32" customFormat="1" ht="18" hidden="1" customHeight="1" thickBot="1">
      <c r="B58" s="86" t="s">
        <v>228</v>
      </c>
      <c r="C58" s="87"/>
      <c r="D58" s="88">
        <v>0</v>
      </c>
      <c r="E58" s="88">
        <v>0</v>
      </c>
      <c r="F58" s="93"/>
      <c r="G58" s="93"/>
      <c r="H58" s="38">
        <f t="shared" si="0"/>
        <v>0</v>
      </c>
    </row>
    <row r="59" spans="2:8" s="32" customFormat="1" ht="18" customHeight="1" thickBot="1">
      <c r="B59" s="86" t="s">
        <v>229</v>
      </c>
      <c r="C59" s="87"/>
      <c r="D59" s="88">
        <v>-17891680809</v>
      </c>
      <c r="E59" s="88">
        <v>-6369263601</v>
      </c>
      <c r="F59" s="88">
        <f>+'[3]Flujo '!D55</f>
        <v>-101286436</v>
      </c>
      <c r="G59" s="88">
        <f>+'[3]Flujo '!E55</f>
        <v>-16842455</v>
      </c>
      <c r="H59" s="340">
        <f t="shared" si="0"/>
        <v>-84443.981</v>
      </c>
    </row>
    <row r="60" spans="2:8" s="32" customFormat="1" ht="18" hidden="1" customHeight="1" thickBot="1">
      <c r="B60" s="86" t="s">
        <v>230</v>
      </c>
      <c r="C60" s="87"/>
      <c r="D60" s="88">
        <v>0</v>
      </c>
      <c r="E60" s="88">
        <v>0</v>
      </c>
      <c r="F60" s="88"/>
      <c r="G60" s="88"/>
      <c r="H60" s="38">
        <f t="shared" si="0"/>
        <v>0</v>
      </c>
    </row>
    <row r="61" spans="2:8" s="32" customFormat="1" ht="18" hidden="1" customHeight="1" thickBot="1">
      <c r="B61" s="98" t="s">
        <v>231</v>
      </c>
      <c r="C61" s="87"/>
      <c r="D61" s="88">
        <v>0</v>
      </c>
      <c r="E61" s="88">
        <v>0</v>
      </c>
      <c r="F61" s="88"/>
      <c r="G61" s="88"/>
      <c r="H61" s="38">
        <f t="shared" si="0"/>
        <v>0</v>
      </c>
    </row>
    <row r="62" spans="2:8" s="32" customFormat="1" ht="18" hidden="1" customHeight="1" thickBot="1">
      <c r="B62" s="86" t="s">
        <v>214</v>
      </c>
      <c r="C62" s="87"/>
      <c r="D62" s="88">
        <v>0</v>
      </c>
      <c r="E62" s="88">
        <v>0</v>
      </c>
      <c r="F62" s="88"/>
      <c r="G62" s="88"/>
      <c r="H62" s="38">
        <f t="shared" si="0"/>
        <v>0</v>
      </c>
    </row>
    <row r="63" spans="2:8" s="32" customFormat="1" ht="18" customHeight="1" thickBot="1">
      <c r="B63" s="86" t="s">
        <v>194</v>
      </c>
      <c r="C63" s="87"/>
      <c r="D63" s="88">
        <v>0</v>
      </c>
      <c r="E63" s="88">
        <v>0</v>
      </c>
      <c r="F63" s="88">
        <f>+'[3]Flujo '!D59</f>
        <v>-118941530</v>
      </c>
      <c r="G63" s="88">
        <f>+'[3]Flujo '!E59</f>
        <v>-88552330</v>
      </c>
      <c r="H63" s="340">
        <f t="shared" si="0"/>
        <v>-30389.200000000001</v>
      </c>
    </row>
    <row r="64" spans="2:8" s="32" customFormat="1" ht="18" hidden="1" customHeight="1" thickBot="1">
      <c r="B64" s="86" t="s">
        <v>196</v>
      </c>
      <c r="C64" s="87"/>
      <c r="D64" s="88">
        <v>0</v>
      </c>
      <c r="E64" s="88">
        <v>0</v>
      </c>
      <c r="F64" s="88"/>
      <c r="G64" s="88"/>
      <c r="H64" s="38">
        <f t="shared" si="0"/>
        <v>0</v>
      </c>
    </row>
    <row r="65" spans="1:8" s="32" customFormat="1" ht="18" hidden="1" customHeight="1" thickBot="1">
      <c r="B65" s="86" t="s">
        <v>219</v>
      </c>
      <c r="C65" s="87"/>
      <c r="D65" s="88">
        <v>0</v>
      </c>
      <c r="E65" s="88">
        <v>0</v>
      </c>
      <c r="F65" s="88"/>
      <c r="G65" s="88"/>
      <c r="H65" s="38">
        <f t="shared" si="0"/>
        <v>0</v>
      </c>
    </row>
    <row r="66" spans="1:8" s="32" customFormat="1" ht="18" customHeight="1" thickBot="1">
      <c r="B66" s="86" t="s">
        <v>220</v>
      </c>
      <c r="C66" s="87"/>
      <c r="D66" s="88">
        <v>-249988835</v>
      </c>
      <c r="E66" s="88">
        <v>0</v>
      </c>
      <c r="F66" s="88">
        <f>+'[3]Flujo '!D62</f>
        <v>-190541</v>
      </c>
      <c r="G66" s="88">
        <f>+'[3]Flujo '!E62</f>
        <v>-204845</v>
      </c>
      <c r="H66" s="38">
        <f t="shared" si="0"/>
        <v>14.304</v>
      </c>
    </row>
    <row r="67" spans="1:8" s="32" customFormat="1" ht="18" customHeight="1" thickBot="1">
      <c r="B67" s="90" t="s">
        <v>97</v>
      </c>
      <c r="C67" s="91"/>
      <c r="D67" s="92">
        <f>SUM(D57:D66)</f>
        <v>24612237274</v>
      </c>
      <c r="E67" s="92">
        <f>SUM(E57:E66)</f>
        <v>-1135451196</v>
      </c>
      <c r="F67" s="92">
        <f>SUM(F57:F66)</f>
        <v>-117728250</v>
      </c>
      <c r="G67" s="92">
        <f>SUM(G57:G66)</f>
        <v>-56715869</v>
      </c>
      <c r="H67" s="38">
        <f t="shared" si="0"/>
        <v>-61012.381000000001</v>
      </c>
    </row>
    <row r="68" spans="1:8" s="32" customFormat="1" ht="6.75" hidden="1" customHeight="1" thickBot="1">
      <c r="A68" s="33"/>
      <c r="B68" s="387"/>
      <c r="C68" s="388"/>
      <c r="D68" s="388"/>
      <c r="E68" s="388"/>
      <c r="F68" s="388"/>
      <c r="G68" s="389"/>
      <c r="H68" s="38"/>
    </row>
    <row r="69" spans="1:8" s="32" customFormat="1" ht="25.5" hidden="1" customHeight="1" thickBot="1">
      <c r="A69" s="33"/>
      <c r="B69" s="90" t="s">
        <v>232</v>
      </c>
      <c r="C69" s="99"/>
      <c r="D69" s="92">
        <f>+D23+D49+D67</f>
        <v>51668325677</v>
      </c>
      <c r="E69" s="92">
        <f>+E23+E49+E67</f>
        <v>22765420174.039402</v>
      </c>
      <c r="F69" s="92">
        <f>+F23+F49+F67</f>
        <v>-32751551</v>
      </c>
      <c r="G69" s="92">
        <f>+G23+G49+G67</f>
        <v>-8592617</v>
      </c>
      <c r="H69" s="38">
        <f t="shared" si="0"/>
        <v>-24158.934000000001</v>
      </c>
    </row>
    <row r="70" spans="1:8" s="32" customFormat="1" ht="6.75" hidden="1" customHeight="1" thickBot="1">
      <c r="A70" s="33"/>
      <c r="B70" s="390"/>
      <c r="C70" s="391"/>
      <c r="D70" s="391"/>
      <c r="E70" s="391"/>
      <c r="F70" s="391"/>
      <c r="G70" s="392"/>
      <c r="H70" s="38"/>
    </row>
    <row r="71" spans="1:8" s="32" customFormat="1" ht="24" hidden="1" customHeight="1" thickBot="1">
      <c r="B71" s="100" t="s">
        <v>233</v>
      </c>
      <c r="C71" s="89"/>
      <c r="D71" s="97">
        <f>[5]Resumen!Z67</f>
        <v>0</v>
      </c>
      <c r="E71" s="97">
        <f>+[6]Resumen!Z67</f>
        <v>0</v>
      </c>
      <c r="F71" s="97">
        <f>ROUND(D71/1000,0)</f>
        <v>0</v>
      </c>
      <c r="G71" s="97">
        <f>ROUND(E71/1000,0)</f>
        <v>0</v>
      </c>
      <c r="H71" s="38">
        <f t="shared" ref="H71:H77" si="3">+(F71-G71)/1000</f>
        <v>0</v>
      </c>
    </row>
    <row r="72" spans="1:8" s="32" customFormat="1" ht="6.75" hidden="1" customHeight="1" thickBot="1">
      <c r="B72" s="381"/>
      <c r="C72" s="382"/>
      <c r="D72" s="382"/>
      <c r="E72" s="382"/>
      <c r="F72" s="382"/>
      <c r="G72" s="383"/>
      <c r="H72" s="38">
        <f t="shared" si="3"/>
        <v>0</v>
      </c>
    </row>
    <row r="73" spans="1:8" s="32" customFormat="1" ht="18" customHeight="1" thickBot="1">
      <c r="B73" s="90" t="s">
        <v>234</v>
      </c>
      <c r="C73" s="91"/>
      <c r="D73" s="92">
        <f>+D23+D49+D67</f>
        <v>51668325677</v>
      </c>
      <c r="E73" s="92">
        <f>+E23+E49+E67</f>
        <v>22765420174.039402</v>
      </c>
      <c r="F73" s="92">
        <f>+F69+F71</f>
        <v>-32751551</v>
      </c>
      <c r="G73" s="92">
        <f>+G69+G71</f>
        <v>-8592617</v>
      </c>
      <c r="H73" s="38">
        <f t="shared" si="3"/>
        <v>-24158.934000000001</v>
      </c>
    </row>
    <row r="74" spans="1:8" s="32" customFormat="1" ht="6.75" hidden="1" customHeight="1" thickBot="1">
      <c r="B74" s="381"/>
      <c r="C74" s="382"/>
      <c r="D74" s="382"/>
      <c r="E74" s="382"/>
      <c r="F74" s="382"/>
      <c r="G74" s="383"/>
      <c r="H74" s="38"/>
    </row>
    <row r="75" spans="1:8" s="32" customFormat="1" ht="18" customHeight="1" thickBot="1">
      <c r="B75" s="100" t="s">
        <v>96</v>
      </c>
      <c r="C75" s="89"/>
      <c r="D75" s="97">
        <v>5051498769.1188555</v>
      </c>
      <c r="E75" s="97">
        <v>6089961730</v>
      </c>
      <c r="F75" s="88">
        <f>+'[3]Flujo '!D67</f>
        <v>40299181</v>
      </c>
      <c r="G75" s="88">
        <f>+'[3]Flujo '!E67</f>
        <v>37206648</v>
      </c>
      <c r="H75" s="38">
        <f t="shared" si="3"/>
        <v>3092.5329999999999</v>
      </c>
    </row>
    <row r="76" spans="1:8" s="32" customFormat="1" ht="6.75" hidden="1" customHeight="1" thickBot="1">
      <c r="B76" s="384"/>
      <c r="C76" s="385"/>
      <c r="D76" s="385"/>
      <c r="E76" s="385"/>
      <c r="F76" s="385"/>
      <c r="G76" s="386"/>
      <c r="H76" s="38"/>
    </row>
    <row r="77" spans="1:8" s="32" customFormat="1" ht="18" customHeight="1" thickBot="1">
      <c r="B77" s="90" t="s">
        <v>95</v>
      </c>
      <c r="C77" s="101" t="s">
        <v>238</v>
      </c>
      <c r="D77" s="92">
        <f>+D73+D75</f>
        <v>56719824446.118858</v>
      </c>
      <c r="E77" s="92">
        <f>+E73+E75</f>
        <v>28855381904.039402</v>
      </c>
      <c r="F77" s="92">
        <f>+F73+F75</f>
        <v>7547630</v>
      </c>
      <c r="G77" s="92">
        <f>+G73+G75</f>
        <v>28614031</v>
      </c>
      <c r="H77" s="38">
        <f t="shared" si="3"/>
        <v>-21066.401000000002</v>
      </c>
    </row>
    <row r="78" spans="1:8">
      <c r="D78" s="34"/>
      <c r="E78" s="34"/>
      <c r="F78" s="34">
        <f>+F77-Balance!D8</f>
        <v>0</v>
      </c>
      <c r="G78" s="34"/>
    </row>
    <row r="79" spans="1:8">
      <c r="D79" s="34"/>
      <c r="E79" s="34"/>
      <c r="F79" s="34">
        <f>+F75-Balance!E8</f>
        <v>0</v>
      </c>
    </row>
    <row r="82" spans="4:4">
      <c r="D82" s="34"/>
    </row>
  </sheetData>
  <mergeCells count="11">
    <mergeCell ref="B72:G72"/>
    <mergeCell ref="B74:G74"/>
    <mergeCell ref="B76:G76"/>
    <mergeCell ref="B50:G50"/>
    <mergeCell ref="B68:G68"/>
    <mergeCell ref="B70:G70"/>
    <mergeCell ref="B3:B4"/>
    <mergeCell ref="C3:C4"/>
    <mergeCell ref="B5:G5"/>
    <mergeCell ref="B11:G11"/>
    <mergeCell ref="B24:G24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I20"/>
  <sheetViews>
    <sheetView showGridLines="0" workbookViewId="0">
      <selection activeCell="C5" sqref="C5"/>
    </sheetView>
  </sheetViews>
  <sheetFormatPr baseColWidth="10" defaultRowHeight="11.25"/>
  <cols>
    <col min="1" max="1" width="11.42578125" style="8"/>
    <col min="2" max="2" width="45.5703125" style="8" bestFit="1" customWidth="1"/>
    <col min="3" max="3" width="10.140625" style="8" bestFit="1" customWidth="1"/>
    <col min="4" max="5" width="11.42578125" style="8"/>
    <col min="6" max="6" width="13.85546875" style="8" bestFit="1" customWidth="1"/>
    <col min="7" max="16384" width="11.42578125" style="8"/>
  </cols>
  <sheetData>
    <row r="2" spans="2:9">
      <c r="B2" s="6" t="s">
        <v>94</v>
      </c>
      <c r="C2" s="7" t="s">
        <v>5</v>
      </c>
      <c r="F2" s="7"/>
      <c r="G2" s="40"/>
      <c r="H2" s="40"/>
      <c r="I2" s="7"/>
    </row>
    <row r="3" spans="2:9">
      <c r="B3" s="8" t="s">
        <v>282</v>
      </c>
      <c r="C3" s="9">
        <f>+cálculos!E68</f>
        <v>57647853</v>
      </c>
      <c r="F3" s="7"/>
      <c r="G3" s="7"/>
      <c r="H3" s="7"/>
      <c r="I3" s="7"/>
    </row>
    <row r="4" spans="2:9">
      <c r="B4" s="8" t="s">
        <v>283</v>
      </c>
      <c r="C4" s="9">
        <f>-cálculos!D68</f>
        <v>-31354050</v>
      </c>
    </row>
    <row r="5" spans="2:9">
      <c r="B5" s="10" t="s">
        <v>284</v>
      </c>
      <c r="C5" s="11">
        <f>+cálculos!C68</f>
        <v>31765630</v>
      </c>
      <c r="G5" s="9"/>
      <c r="H5" s="9"/>
      <c r="I5" s="12"/>
    </row>
    <row r="6" spans="2:9">
      <c r="B6" s="6" t="s">
        <v>281</v>
      </c>
      <c r="C6" s="12">
        <f>SUM(C3:C5)</f>
        <v>58059433</v>
      </c>
      <c r="G6" s="9"/>
      <c r="H6" s="9"/>
    </row>
    <row r="7" spans="2:9">
      <c r="C7" s="9"/>
    </row>
    <row r="8" spans="2:9">
      <c r="B8" s="13" t="s">
        <v>100</v>
      </c>
    </row>
    <row r="9" spans="2:9">
      <c r="B9" s="6" t="s">
        <v>18</v>
      </c>
      <c r="C9" s="7" t="s">
        <v>5</v>
      </c>
    </row>
    <row r="10" spans="2:9">
      <c r="B10" s="8" t="str">
        <f>+B3</f>
        <v>Ejercicio 2013</v>
      </c>
      <c r="C10" s="9">
        <f>+cálculos!F20-cálculos!F21</f>
        <v>177119724</v>
      </c>
    </row>
    <row r="11" spans="2:9">
      <c r="B11" s="8" t="str">
        <f>+B4</f>
        <v>Acum Marzo 2013</v>
      </c>
      <c r="C11" s="9">
        <f>-(+cálculos!E20-cálculos!E21)</f>
        <v>-95369595</v>
      </c>
    </row>
    <row r="12" spans="2:9">
      <c r="B12" s="10" t="str">
        <f>+B5</f>
        <v>Acum Marzo 2014</v>
      </c>
      <c r="C12" s="11">
        <f>+cálculos!D20-cálculos!D21</f>
        <v>92417613</v>
      </c>
    </row>
    <row r="13" spans="2:9">
      <c r="B13" s="6" t="str">
        <f>+B6</f>
        <v>Periodo Mar 2013 - Mar 2014</v>
      </c>
      <c r="C13" s="12">
        <f>SUM(C10:C12)</f>
        <v>174167742</v>
      </c>
    </row>
    <row r="16" spans="2:9">
      <c r="B16" s="6" t="s">
        <v>20</v>
      </c>
      <c r="C16" s="7" t="s">
        <v>5</v>
      </c>
    </row>
    <row r="17" spans="2:3">
      <c r="B17" s="8" t="str">
        <f>+B3</f>
        <v>Ejercicio 2013</v>
      </c>
      <c r="C17" s="9">
        <f>-cálculos!F21</f>
        <v>28886895</v>
      </c>
    </row>
    <row r="18" spans="2:3">
      <c r="B18" s="8" t="str">
        <f>+B4</f>
        <v>Acum Marzo 2013</v>
      </c>
      <c r="C18" s="9">
        <f>+cálculos!E21</f>
        <v>-14753879</v>
      </c>
    </row>
    <row r="19" spans="2:3">
      <c r="B19" s="10" t="str">
        <f>+B5</f>
        <v>Acum Marzo 2014</v>
      </c>
      <c r="C19" s="11">
        <f>-cálculos!D21</f>
        <v>14014702</v>
      </c>
    </row>
    <row r="20" spans="2:3">
      <c r="B20" s="6" t="str">
        <f>+B13</f>
        <v>Periodo Mar 2013 - Mar 2014</v>
      </c>
      <c r="C20" s="12">
        <f>SUM(C17:C19)</f>
        <v>28147718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"/>
  <sheetViews>
    <sheetView topLeftCell="A19" workbookViewId="0">
      <selection activeCell="B2" sqref="B2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tabSelected="1" topLeftCell="A7" workbookViewId="0">
      <selection activeCell="B14" sqref="B14"/>
    </sheetView>
  </sheetViews>
  <sheetFormatPr baseColWidth="10" defaultRowHeight="15" customHeight="1"/>
  <cols>
    <col min="1" max="1" width="4" style="2" customWidth="1"/>
    <col min="2" max="2" width="44.85546875" style="2" bestFit="1" customWidth="1"/>
    <col min="3" max="4" width="12.7109375" style="2" customWidth="1"/>
    <col min="5" max="5" width="15.5703125" style="2" customWidth="1"/>
    <col min="6" max="16384" width="11.42578125" style="2"/>
  </cols>
  <sheetData>
    <row r="1" spans="1:14" ht="15" customHeight="1">
      <c r="A1" s="295" t="s">
        <v>296</v>
      </c>
    </row>
    <row r="2" spans="1:14" ht="15" customHeight="1">
      <c r="B2" s="2" t="s">
        <v>321</v>
      </c>
      <c r="I2" s="2" t="s">
        <v>322</v>
      </c>
    </row>
    <row r="3" spans="1:14" s="5" customFormat="1" ht="15" customHeight="1" thickBot="1">
      <c r="B3" s="273" t="s">
        <v>297</v>
      </c>
      <c r="C3" s="294" t="s">
        <v>295</v>
      </c>
      <c r="D3" s="294" t="s">
        <v>292</v>
      </c>
      <c r="E3" s="294" t="s">
        <v>265</v>
      </c>
      <c r="F3" s="268"/>
      <c r="G3" s="294" t="s">
        <v>285</v>
      </c>
      <c r="I3" s="273" t="s">
        <v>297</v>
      </c>
      <c r="J3" s="350" t="s">
        <v>295</v>
      </c>
      <c r="K3" s="350" t="s">
        <v>292</v>
      </c>
      <c r="L3" s="350" t="s">
        <v>265</v>
      </c>
      <c r="M3" s="268"/>
      <c r="N3" s="350" t="s">
        <v>285</v>
      </c>
    </row>
    <row r="4" spans="1:14" ht="15" customHeight="1">
      <c r="B4" s="297" t="s">
        <v>296</v>
      </c>
      <c r="C4" s="353">
        <v>221774</v>
      </c>
      <c r="D4" s="353">
        <v>202381</v>
      </c>
      <c r="E4" s="278">
        <v>9.6000000000000002E-2</v>
      </c>
      <c r="F4" s="268"/>
      <c r="G4" s="353">
        <v>19393</v>
      </c>
      <c r="I4" s="297" t="s">
        <v>296</v>
      </c>
      <c r="J4" s="353">
        <v>102294</v>
      </c>
      <c r="K4" s="353">
        <v>94084</v>
      </c>
      <c r="L4" s="278">
        <v>8.6999999999999994E-2</v>
      </c>
      <c r="M4" s="268"/>
      <c r="N4" s="353">
        <v>8210</v>
      </c>
    </row>
    <row r="5" spans="1:14" s="39" customFormat="1" ht="15" customHeight="1">
      <c r="B5" s="297" t="s">
        <v>298</v>
      </c>
      <c r="C5" s="344">
        <v>-82292</v>
      </c>
      <c r="D5" s="344">
        <v>-79461</v>
      </c>
      <c r="E5" s="278">
        <v>3.5999999999999997E-2</v>
      </c>
      <c r="F5" s="268"/>
      <c r="G5" s="344">
        <v>-2831</v>
      </c>
      <c r="I5" s="297" t="s">
        <v>298</v>
      </c>
      <c r="J5" s="344">
        <v>-42293</v>
      </c>
      <c r="K5" s="344">
        <v>-41289</v>
      </c>
      <c r="L5" s="278">
        <v>2.4E-2</v>
      </c>
      <c r="M5" s="268"/>
      <c r="N5" s="344">
        <v>-1004</v>
      </c>
    </row>
    <row r="6" spans="1:14" s="39" customFormat="1" ht="15" customHeight="1">
      <c r="B6" s="297" t="s">
        <v>266</v>
      </c>
      <c r="C6" s="344">
        <v>139482</v>
      </c>
      <c r="D6" s="344">
        <v>122920</v>
      </c>
      <c r="E6" s="278">
        <v>0.13500000000000001</v>
      </c>
      <c r="F6" s="268"/>
      <c r="G6" s="344">
        <v>16562</v>
      </c>
      <c r="I6" s="297" t="s">
        <v>266</v>
      </c>
      <c r="J6" s="344">
        <v>60001</v>
      </c>
      <c r="K6" s="344">
        <v>52795</v>
      </c>
      <c r="L6" s="278">
        <v>0.13600000000000001</v>
      </c>
      <c r="M6" s="268"/>
      <c r="N6" s="344">
        <v>7206</v>
      </c>
    </row>
    <row r="7" spans="1:14" s="39" customFormat="1" ht="15" customHeight="1">
      <c r="B7" s="297" t="s">
        <v>299</v>
      </c>
      <c r="C7" s="344">
        <v>-31600</v>
      </c>
      <c r="D7" s="344">
        <v>-32176</v>
      </c>
      <c r="E7" s="278">
        <v>1.7999999999999999E-2</v>
      </c>
      <c r="F7" s="268"/>
      <c r="G7" s="344">
        <v>576</v>
      </c>
      <c r="I7" s="297" t="s">
        <v>299</v>
      </c>
      <c r="J7" s="344">
        <v>-15948</v>
      </c>
      <c r="K7" s="344">
        <v>-16184</v>
      </c>
      <c r="L7" s="278">
        <v>1.4999999999999999E-2</v>
      </c>
      <c r="M7" s="268"/>
      <c r="N7" s="344">
        <v>236</v>
      </c>
    </row>
    <row r="8" spans="1:14" s="39" customFormat="1" ht="15" customHeight="1">
      <c r="B8" s="297" t="s">
        <v>300</v>
      </c>
      <c r="C8" s="344">
        <v>107882</v>
      </c>
      <c r="D8" s="344">
        <v>90744</v>
      </c>
      <c r="E8" s="278">
        <v>0.189</v>
      </c>
      <c r="F8" s="268"/>
      <c r="G8" s="344">
        <v>17138</v>
      </c>
      <c r="I8" s="297" t="s">
        <v>300</v>
      </c>
      <c r="J8" s="344">
        <v>44053</v>
      </c>
      <c r="K8" s="344">
        <v>36611</v>
      </c>
      <c r="L8" s="278">
        <v>0.20300000000000001</v>
      </c>
      <c r="M8" s="268"/>
      <c r="N8" s="344">
        <v>7442</v>
      </c>
    </row>
    <row r="9" spans="1:14" s="39" customFormat="1" ht="15" customHeight="1">
      <c r="B9" s="297" t="s">
        <v>301</v>
      </c>
      <c r="C9" s="344">
        <v>-30070</v>
      </c>
      <c r="D9" s="344">
        <v>-10843</v>
      </c>
      <c r="E9" s="278">
        <v>1.7729999999999999</v>
      </c>
      <c r="F9" s="268"/>
      <c r="G9" s="344">
        <v>-19227</v>
      </c>
      <c r="I9" s="297" t="s">
        <v>301</v>
      </c>
      <c r="J9" s="344">
        <v>-16441</v>
      </c>
      <c r="K9" s="344">
        <v>-4460</v>
      </c>
      <c r="L9" s="278">
        <v>2.6859999999999999</v>
      </c>
      <c r="M9" s="268"/>
      <c r="N9" s="344">
        <v>-11981</v>
      </c>
    </row>
    <row r="10" spans="1:14" s="39" customFormat="1" ht="15" customHeight="1">
      <c r="B10" s="297" t="s">
        <v>302</v>
      </c>
      <c r="C10" s="344">
        <v>31766</v>
      </c>
      <c r="D10" s="344">
        <v>31354</v>
      </c>
      <c r="E10" s="278">
        <v>1.2999999999999999E-2</v>
      </c>
      <c r="F10" s="268"/>
      <c r="G10" s="344">
        <v>412</v>
      </c>
      <c r="I10" s="297" t="s">
        <v>302</v>
      </c>
      <c r="J10" s="344">
        <v>11462</v>
      </c>
      <c r="K10" s="344">
        <v>12397</v>
      </c>
      <c r="L10" s="278">
        <v>-7.4999999999999997E-2</v>
      </c>
      <c r="M10" s="268"/>
      <c r="N10" s="344">
        <v>-935</v>
      </c>
    </row>
    <row r="11" spans="1:14" s="39" customFormat="1" ht="15" customHeight="1"/>
    <row r="12" spans="1:14" ht="15" customHeight="1">
      <c r="A12" s="295" t="s">
        <v>303</v>
      </c>
    </row>
    <row r="13" spans="1:14" s="39" customFormat="1" ht="15" customHeight="1">
      <c r="B13" s="297"/>
      <c r="C13" s="270"/>
      <c r="D13" s="270"/>
      <c r="E13" s="277"/>
      <c r="F13" s="268"/>
      <c r="G13" s="270"/>
    </row>
    <row r="14" spans="1:14" s="39" customFormat="1" ht="15" customHeight="1" thickBot="1">
      <c r="B14" s="328"/>
      <c r="C14" s="362" t="s">
        <v>295</v>
      </c>
      <c r="D14" s="362"/>
      <c r="E14" s="296"/>
      <c r="F14" s="362" t="s">
        <v>292</v>
      </c>
      <c r="G14" s="362"/>
      <c r="H14" s="296"/>
      <c r="I14" s="362" t="s">
        <v>267</v>
      </c>
      <c r="J14" s="362"/>
    </row>
    <row r="15" spans="1:14" s="39" customFormat="1" ht="15" customHeight="1">
      <c r="B15" s="328"/>
      <c r="C15" s="401" t="s">
        <v>319</v>
      </c>
      <c r="D15" s="402" t="s">
        <v>366</v>
      </c>
      <c r="E15" s="328"/>
      <c r="F15" s="401" t="s">
        <v>319</v>
      </c>
      <c r="G15" s="402" t="s">
        <v>366</v>
      </c>
      <c r="H15" s="328"/>
      <c r="I15" s="402" t="s">
        <v>367</v>
      </c>
      <c r="J15" s="402" t="s">
        <v>62</v>
      </c>
    </row>
    <row r="16" spans="1:14" s="39" customFormat="1" ht="15" customHeight="1" thickBot="1">
      <c r="B16" s="328"/>
      <c r="C16" s="399" t="s">
        <v>367</v>
      </c>
      <c r="D16" s="403"/>
      <c r="E16" s="328"/>
      <c r="F16" s="399" t="s">
        <v>367</v>
      </c>
      <c r="G16" s="403"/>
      <c r="H16" s="328"/>
      <c r="I16" s="403"/>
      <c r="J16" s="403"/>
    </row>
    <row r="17" spans="2:10" s="39" customFormat="1" ht="15" customHeight="1">
      <c r="B17" s="297" t="s">
        <v>304</v>
      </c>
      <c r="C17" s="270">
        <v>92943</v>
      </c>
      <c r="D17" s="278">
        <v>0.41899999999999998</v>
      </c>
      <c r="E17" s="296"/>
      <c r="F17" s="355">
        <v>84663</v>
      </c>
      <c r="G17" s="278">
        <v>0.41799999999999998</v>
      </c>
      <c r="H17" s="296"/>
      <c r="I17" s="270">
        <v>8280</v>
      </c>
      <c r="J17" s="278">
        <v>9.8000000000000004E-2</v>
      </c>
    </row>
    <row r="18" spans="2:10" s="39" customFormat="1" ht="15" customHeight="1">
      <c r="B18" s="297" t="s">
        <v>305</v>
      </c>
      <c r="C18" s="270">
        <v>104550</v>
      </c>
      <c r="D18" s="278">
        <v>0.47099999999999997</v>
      </c>
      <c r="E18" s="296"/>
      <c r="F18" s="355">
        <v>93320</v>
      </c>
      <c r="G18" s="278">
        <v>0.46100000000000002</v>
      </c>
      <c r="H18" s="296"/>
      <c r="I18" s="270">
        <v>11230</v>
      </c>
      <c r="J18" s="278">
        <v>0.12</v>
      </c>
    </row>
    <row r="19" spans="2:10" s="39" customFormat="1" ht="15" customHeight="1">
      <c r="B19" s="297" t="s">
        <v>306</v>
      </c>
      <c r="C19" s="270">
        <v>3494</v>
      </c>
      <c r="D19" s="278">
        <v>1.6E-2</v>
      </c>
      <c r="E19" s="296"/>
      <c r="F19" s="355">
        <v>2951</v>
      </c>
      <c r="G19" s="278">
        <v>1.4999999999999999E-2</v>
      </c>
      <c r="H19" s="296"/>
      <c r="I19" s="270">
        <v>543</v>
      </c>
      <c r="J19" s="278">
        <v>0.184</v>
      </c>
    </row>
    <row r="20" spans="2:10" s="39" customFormat="1" ht="15" customHeight="1" thickBot="1">
      <c r="B20" s="297" t="s">
        <v>307</v>
      </c>
      <c r="C20" s="279">
        <v>20787</v>
      </c>
      <c r="D20" s="280">
        <v>9.4E-2</v>
      </c>
      <c r="E20" s="296"/>
      <c r="F20" s="356">
        <v>21447</v>
      </c>
      <c r="G20" s="280">
        <v>0.106</v>
      </c>
      <c r="H20" s="296"/>
      <c r="I20" s="279">
        <v>-660</v>
      </c>
      <c r="J20" s="280">
        <v>-3.1E-2</v>
      </c>
    </row>
    <row r="21" spans="2:10" s="39" customFormat="1" ht="15" customHeight="1" thickTop="1">
      <c r="B21" s="271" t="s">
        <v>268</v>
      </c>
      <c r="C21" s="272">
        <v>221774</v>
      </c>
      <c r="D21" s="278">
        <v>0.99999999999999989</v>
      </c>
      <c r="E21" s="296"/>
      <c r="F21" s="272">
        <v>202381</v>
      </c>
      <c r="G21" s="278">
        <v>1</v>
      </c>
      <c r="H21" s="296"/>
      <c r="I21" s="272">
        <v>19393</v>
      </c>
      <c r="J21" s="278">
        <v>9.6000000000000002E-2</v>
      </c>
    </row>
    <row r="22" spans="2:10" s="39" customFormat="1" ht="15" customHeight="1">
      <c r="C22" s="342">
        <v>0</v>
      </c>
      <c r="F22" s="342">
        <v>0</v>
      </c>
    </row>
    <row r="23" spans="2:10" s="39" customFormat="1" ht="15" customHeight="1" thickBot="1">
      <c r="B23" s="393" t="s">
        <v>308</v>
      </c>
      <c r="C23" s="294" t="s">
        <v>295</v>
      </c>
      <c r="D23" s="294" t="s">
        <v>292</v>
      </c>
      <c r="E23" s="294" t="s">
        <v>265</v>
      </c>
      <c r="F23" s="296"/>
      <c r="G23" s="294" t="s">
        <v>320</v>
      </c>
    </row>
    <row r="24" spans="2:10" s="39" customFormat="1" ht="15" customHeight="1">
      <c r="B24" s="394" t="s">
        <v>304</v>
      </c>
      <c r="C24" s="355">
        <v>297289</v>
      </c>
      <c r="D24" s="355">
        <v>286162</v>
      </c>
      <c r="E24" s="358">
        <v>3.9E-2</v>
      </c>
      <c r="F24" s="328"/>
      <c r="G24" s="355">
        <v>11127</v>
      </c>
      <c r="H24" s="361"/>
    </row>
    <row r="25" spans="2:10" s="39" customFormat="1" ht="15" customHeight="1">
      <c r="B25" s="394" t="s">
        <v>309</v>
      </c>
      <c r="C25" s="355">
        <v>285094</v>
      </c>
      <c r="D25" s="355">
        <v>276976</v>
      </c>
      <c r="E25" s="358">
        <v>2.9000000000000001E-2</v>
      </c>
      <c r="F25" s="328"/>
      <c r="G25" s="355">
        <v>8118</v>
      </c>
      <c r="H25" s="361"/>
    </row>
    <row r="26" spans="2:10" s="39" customFormat="1" ht="15" customHeight="1">
      <c r="B26" s="394" t="s">
        <v>310</v>
      </c>
      <c r="C26" s="355">
        <v>248101</v>
      </c>
      <c r="D26" s="355">
        <v>241048</v>
      </c>
      <c r="E26" s="358">
        <v>2.9000000000000001E-2</v>
      </c>
      <c r="F26" s="328"/>
      <c r="G26" s="355">
        <v>7053</v>
      </c>
      <c r="H26" s="361"/>
    </row>
    <row r="27" spans="2:10" s="39" customFormat="1" ht="15" customHeight="1">
      <c r="B27" s="297" t="s">
        <v>315</v>
      </c>
      <c r="C27" s="355">
        <v>64168</v>
      </c>
      <c r="D27" s="355">
        <v>63104</v>
      </c>
      <c r="E27" s="358">
        <v>1.7000000000000001E-2</v>
      </c>
      <c r="F27" s="359"/>
      <c r="G27" s="355">
        <v>1064</v>
      </c>
      <c r="H27" s="361"/>
    </row>
    <row r="28" spans="2:10" ht="15" customHeight="1">
      <c r="B28" s="296"/>
      <c r="C28" s="328"/>
      <c r="D28" s="328"/>
      <c r="E28" s="328"/>
      <c r="F28" s="328"/>
      <c r="G28" s="328"/>
    </row>
    <row r="29" spans="2:10" ht="15" customHeight="1" thickBot="1">
      <c r="B29" s="393" t="s">
        <v>311</v>
      </c>
      <c r="C29" s="357" t="s">
        <v>295</v>
      </c>
      <c r="D29" s="357" t="s">
        <v>292</v>
      </c>
      <c r="E29" s="357" t="s">
        <v>265</v>
      </c>
      <c r="F29" s="328"/>
      <c r="G29" s="357" t="s">
        <v>320</v>
      </c>
    </row>
    <row r="30" spans="2:10" ht="15" customHeight="1">
      <c r="B30" s="394" t="s">
        <v>304</v>
      </c>
      <c r="C30" s="355">
        <v>2070091</v>
      </c>
      <c r="D30" s="355">
        <v>2009979</v>
      </c>
      <c r="E30" s="358">
        <v>0.03</v>
      </c>
      <c r="F30" s="328"/>
      <c r="G30" s="355">
        <v>60112</v>
      </c>
      <c r="H30" s="361"/>
    </row>
    <row r="31" spans="2:10" ht="15" customHeight="1">
      <c r="B31" s="394" t="s">
        <v>309</v>
      </c>
      <c r="C31" s="355">
        <v>2018794</v>
      </c>
      <c r="D31" s="355">
        <v>1969975</v>
      </c>
      <c r="E31" s="358">
        <v>2.5000000000000001E-2</v>
      </c>
      <c r="F31" s="328"/>
      <c r="G31" s="355">
        <v>48819</v>
      </c>
      <c r="H31" s="361"/>
    </row>
    <row r="32" spans="2:10" ht="15" customHeight="1">
      <c r="B32" s="395"/>
      <c r="C32" s="1"/>
    </row>
    <row r="33" spans="2:5" ht="15" customHeight="1">
      <c r="B33" s="299" t="s">
        <v>312</v>
      </c>
      <c r="C33" s="1"/>
    </row>
    <row r="34" spans="2:5" ht="15" customHeight="1">
      <c r="B34" s="299"/>
      <c r="C34" s="1"/>
    </row>
    <row r="35" spans="2:5" ht="15" customHeight="1" thickBot="1">
      <c r="B35" s="286" t="s">
        <v>269</v>
      </c>
      <c r="C35" s="281" t="s">
        <v>295</v>
      </c>
      <c r="D35" s="281" t="s">
        <v>292</v>
      </c>
      <c r="E35" s="281" t="s">
        <v>270</v>
      </c>
    </row>
    <row r="36" spans="2:5" ht="15" customHeight="1">
      <c r="B36" s="283" t="s">
        <v>271</v>
      </c>
      <c r="C36" s="270">
        <v>3963</v>
      </c>
      <c r="D36" s="270">
        <v>4773</v>
      </c>
      <c r="E36" s="298">
        <v>-0.17</v>
      </c>
    </row>
    <row r="37" spans="2:5" s="5" customFormat="1" ht="15" customHeight="1">
      <c r="B37" s="283" t="s">
        <v>235</v>
      </c>
      <c r="C37" s="270">
        <v>6432</v>
      </c>
      <c r="D37" s="270">
        <v>5564</v>
      </c>
      <c r="E37" s="278">
        <v>0.156</v>
      </c>
    </row>
    <row r="38" spans="2:5" ht="15" customHeight="1">
      <c r="B38" s="283" t="s">
        <v>272</v>
      </c>
      <c r="C38" s="282">
        <v>1212</v>
      </c>
      <c r="D38" s="282">
        <v>954</v>
      </c>
      <c r="E38" s="278">
        <v>0.27</v>
      </c>
    </row>
    <row r="39" spans="2:5" ht="15" customHeight="1">
      <c r="B39" s="283" t="s">
        <v>240</v>
      </c>
      <c r="C39" s="282">
        <v>182</v>
      </c>
      <c r="D39" s="282">
        <v>157</v>
      </c>
      <c r="E39" s="278">
        <v>0.159</v>
      </c>
    </row>
    <row r="40" spans="2:5" ht="15" customHeight="1">
      <c r="B40" s="284" t="s">
        <v>313</v>
      </c>
      <c r="C40" s="285">
        <v>11789</v>
      </c>
      <c r="D40" s="285">
        <v>11448</v>
      </c>
      <c r="E40" s="331">
        <v>0.03</v>
      </c>
    </row>
    <row r="41" spans="2:5" ht="15" customHeight="1">
      <c r="B41" s="395"/>
      <c r="C41" s="1"/>
      <c r="D41" s="4"/>
    </row>
    <row r="42" spans="2:5" ht="15" customHeight="1">
      <c r="B42" s="395"/>
      <c r="C42" s="1"/>
    </row>
    <row r="43" spans="2:5" ht="15" customHeight="1" thickBot="1">
      <c r="B43" s="273" t="s">
        <v>314</v>
      </c>
      <c r="C43" s="294" t="s">
        <v>295</v>
      </c>
    </row>
    <row r="44" spans="2:5" ht="15" customHeight="1">
      <c r="B44" s="297" t="s">
        <v>316</v>
      </c>
      <c r="C44" s="270">
        <v>1680</v>
      </c>
    </row>
    <row r="45" spans="2:5" ht="15" customHeight="1">
      <c r="B45" s="297" t="s">
        <v>317</v>
      </c>
      <c r="C45" s="270">
        <v>1539</v>
      </c>
    </row>
    <row r="46" spans="2:5" ht="15" customHeight="1">
      <c r="B46" s="297" t="s">
        <v>318</v>
      </c>
      <c r="C46" s="270">
        <v>1328</v>
      </c>
    </row>
  </sheetData>
  <mergeCells count="7">
    <mergeCell ref="C14:D14"/>
    <mergeCell ref="F14:G14"/>
    <mergeCell ref="I14:J14"/>
    <mergeCell ref="D15:D16"/>
    <mergeCell ref="G15:G16"/>
    <mergeCell ref="I15:I16"/>
    <mergeCell ref="J15:J16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6"/>
  <sheetViews>
    <sheetView showGridLines="0" workbookViewId="0">
      <selection activeCell="C3" sqref="C3"/>
    </sheetView>
  </sheetViews>
  <sheetFormatPr baseColWidth="10" defaultRowHeight="15" customHeight="1"/>
  <cols>
    <col min="1" max="1" width="3.85546875" style="2" customWidth="1"/>
    <col min="2" max="2" width="46.5703125" style="2" customWidth="1"/>
    <col min="3" max="4" width="13.7109375" style="2" customWidth="1"/>
    <col min="5" max="5" width="9.28515625" style="2" customWidth="1"/>
    <col min="6" max="16384" width="11.42578125" style="2"/>
  </cols>
  <sheetData>
    <row r="3" spans="2:7" ht="15" customHeight="1" thickBot="1">
      <c r="B3" s="296"/>
      <c r="C3" s="352">
        <v>41791</v>
      </c>
      <c r="D3" s="294" t="s">
        <v>335</v>
      </c>
      <c r="E3" s="364" t="s">
        <v>265</v>
      </c>
    </row>
    <row r="4" spans="2:7" ht="15" customHeight="1" thickBot="1">
      <c r="B4" s="269"/>
      <c r="C4" s="294" t="s">
        <v>66</v>
      </c>
      <c r="D4" s="294" t="s">
        <v>66</v>
      </c>
      <c r="E4" s="363"/>
    </row>
    <row r="5" spans="2:7" ht="15" customHeight="1">
      <c r="B5" s="360" t="s">
        <v>323</v>
      </c>
      <c r="C5" s="296"/>
      <c r="D5" s="296"/>
      <c r="E5" s="296"/>
    </row>
    <row r="6" spans="2:7" ht="12.75" customHeight="1">
      <c r="B6" s="297" t="s">
        <v>324</v>
      </c>
      <c r="C6" s="270">
        <v>88773</v>
      </c>
      <c r="D6" s="270">
        <v>134623</v>
      </c>
      <c r="E6" s="274">
        <v>-0.34100000000000003</v>
      </c>
      <c r="G6" s="4"/>
    </row>
    <row r="7" spans="2:7" ht="12.75" customHeight="1">
      <c r="B7" s="297" t="s">
        <v>325</v>
      </c>
      <c r="C7" s="270">
        <v>1722492</v>
      </c>
      <c r="D7" s="270">
        <v>1716133</v>
      </c>
      <c r="E7" s="274">
        <v>4.0000000000000001E-3</v>
      </c>
      <c r="G7" s="4"/>
    </row>
    <row r="8" spans="2:7" ht="12.75" customHeight="1">
      <c r="B8" s="271" t="s">
        <v>326</v>
      </c>
      <c r="C8" s="272">
        <v>1811265</v>
      </c>
      <c r="D8" s="272">
        <v>1850756</v>
      </c>
      <c r="E8" s="275">
        <v>-2.1000000000000001E-2</v>
      </c>
      <c r="G8" s="4"/>
    </row>
    <row r="9" spans="2:7" ht="12.75" customHeight="1">
      <c r="B9" s="360" t="s">
        <v>327</v>
      </c>
      <c r="C9" s="296"/>
      <c r="D9" s="296"/>
      <c r="E9" s="301"/>
    </row>
    <row r="10" spans="2:7" ht="12.75" customHeight="1">
      <c r="B10" s="297" t="s">
        <v>328</v>
      </c>
      <c r="C10" s="270">
        <v>125526</v>
      </c>
      <c r="D10" s="270">
        <v>221033</v>
      </c>
      <c r="E10" s="274">
        <v>-0.432</v>
      </c>
      <c r="G10" s="4"/>
    </row>
    <row r="11" spans="2:7" ht="12.75" customHeight="1">
      <c r="B11" s="297" t="s">
        <v>329</v>
      </c>
      <c r="C11" s="270">
        <v>752495</v>
      </c>
      <c r="D11" s="270">
        <v>680044</v>
      </c>
      <c r="E11" s="274">
        <v>0.107</v>
      </c>
      <c r="G11" s="4"/>
    </row>
    <row r="12" spans="2:7" ht="12.75" customHeight="1">
      <c r="B12" s="271" t="s">
        <v>330</v>
      </c>
      <c r="C12" s="272">
        <v>878021</v>
      </c>
      <c r="D12" s="272">
        <v>901077</v>
      </c>
      <c r="E12" s="275">
        <v>-2.5999999999999999E-2</v>
      </c>
      <c r="G12" s="4"/>
    </row>
    <row r="13" spans="2:7" ht="12.75" customHeight="1">
      <c r="B13" s="328"/>
      <c r="C13" s="296"/>
      <c r="D13" s="296"/>
      <c r="E13" s="301"/>
    </row>
    <row r="14" spans="2:7" ht="12.75" customHeight="1">
      <c r="B14" s="297" t="s">
        <v>331</v>
      </c>
      <c r="C14" s="270">
        <v>573568</v>
      </c>
      <c r="D14" s="270">
        <v>580912</v>
      </c>
      <c r="E14" s="274">
        <v>-1.2999999999999999E-2</v>
      </c>
      <c r="G14" s="4"/>
    </row>
    <row r="15" spans="2:7" ht="12.75" customHeight="1">
      <c r="B15" s="297" t="s">
        <v>332</v>
      </c>
      <c r="C15" s="270">
        <v>359676</v>
      </c>
      <c r="D15" s="270">
        <v>368767</v>
      </c>
      <c r="E15" s="274">
        <v>-2.5000000000000001E-2</v>
      </c>
      <c r="G15" s="4"/>
    </row>
    <row r="16" spans="2:7" ht="12.75" customHeight="1">
      <c r="B16" s="271" t="s">
        <v>333</v>
      </c>
      <c r="C16" s="272">
        <v>933244</v>
      </c>
      <c r="D16" s="272">
        <v>949679</v>
      </c>
      <c r="E16" s="275">
        <v>-1.7000000000000001E-2</v>
      </c>
      <c r="G16" s="4"/>
    </row>
    <row r="17" spans="2:7" ht="12.75" customHeight="1">
      <c r="B17" s="271" t="s">
        <v>334</v>
      </c>
      <c r="C17" s="272">
        <v>1811265</v>
      </c>
      <c r="D17" s="272">
        <v>1850756</v>
      </c>
      <c r="E17" s="275">
        <v>-2.1000000000000001E-2</v>
      </c>
      <c r="G17" s="4"/>
    </row>
    <row r="19" spans="2:7" ht="15" customHeight="1">
      <c r="C19" s="300"/>
      <c r="D19" s="300"/>
    </row>
    <row r="26" spans="2:7" s="5" customFormat="1" ht="15" customHeight="1"/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5"/>
  <sheetViews>
    <sheetView showGridLines="0" workbookViewId="0">
      <selection activeCell="B4" sqref="B4:C16"/>
    </sheetView>
  </sheetViews>
  <sheetFormatPr baseColWidth="10" defaultRowHeight="15" customHeight="1"/>
  <cols>
    <col min="1" max="1" width="8" style="2" bestFit="1" customWidth="1"/>
    <col min="2" max="2" width="60.42578125" style="2" bestFit="1" customWidth="1"/>
    <col min="3" max="3" width="8.5703125" style="2" customWidth="1"/>
    <col min="4" max="5" width="13.7109375" style="2" customWidth="1"/>
    <col min="6" max="16384" width="11.42578125" style="2"/>
  </cols>
  <sheetData>
    <row r="3" spans="1:6" ht="15" customHeight="1">
      <c r="B3" s="296"/>
      <c r="C3" s="296"/>
      <c r="D3" s="351" t="s">
        <v>295</v>
      </c>
      <c r="E3" s="351" t="s">
        <v>336</v>
      </c>
    </row>
    <row r="4" spans="1:6" ht="15" customHeight="1">
      <c r="B4" s="396" t="s">
        <v>337</v>
      </c>
      <c r="C4" s="328"/>
      <c r="D4" s="296"/>
      <c r="E4" s="296"/>
    </row>
    <row r="5" spans="1:6" ht="15" customHeight="1">
      <c r="A5" s="3"/>
      <c r="B5" s="394" t="s">
        <v>338</v>
      </c>
      <c r="C5" s="397" t="s">
        <v>339</v>
      </c>
      <c r="D5" s="329">
        <v>0.71</v>
      </c>
      <c r="E5" s="329">
        <v>0.61</v>
      </c>
      <c r="F5" s="349"/>
    </row>
    <row r="6" spans="1:6" ht="15" customHeight="1">
      <c r="A6" s="3"/>
      <c r="B6" s="394" t="s">
        <v>340</v>
      </c>
      <c r="C6" s="397" t="s">
        <v>339</v>
      </c>
      <c r="D6" s="329">
        <v>0.06</v>
      </c>
      <c r="E6" s="329">
        <v>0.18</v>
      </c>
      <c r="F6" s="349"/>
    </row>
    <row r="7" spans="1:6" ht="15" customHeight="1">
      <c r="B7" s="396" t="s">
        <v>341</v>
      </c>
      <c r="C7" s="328"/>
      <c r="D7" s="296"/>
      <c r="E7" s="296"/>
      <c r="F7" s="349"/>
    </row>
    <row r="8" spans="1:6" ht="15" customHeight="1">
      <c r="B8" s="394" t="s">
        <v>342</v>
      </c>
      <c r="C8" s="397" t="s">
        <v>339</v>
      </c>
      <c r="D8" s="329">
        <v>0.94079999999999997</v>
      </c>
      <c r="E8" s="329">
        <v>0.94879999999999998</v>
      </c>
      <c r="F8" s="349"/>
    </row>
    <row r="9" spans="1:6" ht="15" customHeight="1">
      <c r="A9" s="3"/>
      <c r="B9" s="394" t="s">
        <v>343</v>
      </c>
      <c r="C9" s="397" t="s">
        <v>339</v>
      </c>
      <c r="D9" s="329">
        <v>0.14299999999999999</v>
      </c>
      <c r="E9" s="329">
        <v>0.24529999999999999</v>
      </c>
      <c r="F9" s="349"/>
    </row>
    <row r="10" spans="1:6" ht="15" customHeight="1">
      <c r="A10" s="3"/>
      <c r="B10" s="394" t="s">
        <v>344</v>
      </c>
      <c r="C10" s="397" t="s">
        <v>339</v>
      </c>
      <c r="D10" s="329">
        <v>0.85699999999999998</v>
      </c>
      <c r="E10" s="329">
        <v>0.75470000000000004</v>
      </c>
      <c r="F10" s="349"/>
    </row>
    <row r="11" spans="1:6" ht="15" customHeight="1">
      <c r="A11" s="3"/>
      <c r="B11" s="394" t="s">
        <v>345</v>
      </c>
      <c r="C11" s="397" t="s">
        <v>339</v>
      </c>
      <c r="D11" s="329">
        <v>6.19</v>
      </c>
      <c r="E11" s="329">
        <v>6.13</v>
      </c>
      <c r="F11" s="349"/>
    </row>
    <row r="12" spans="1:6" ht="15" customHeight="1">
      <c r="B12" s="396" t="s">
        <v>346</v>
      </c>
      <c r="C12" s="328"/>
      <c r="D12" s="296"/>
      <c r="E12" s="296"/>
      <c r="F12" s="349"/>
    </row>
    <row r="13" spans="1:6" ht="12.75">
      <c r="A13" s="3"/>
      <c r="B13" s="398" t="s">
        <v>347</v>
      </c>
      <c r="C13" s="397" t="s">
        <v>62</v>
      </c>
      <c r="D13" s="329">
        <v>10.130000000000001</v>
      </c>
      <c r="E13" s="329">
        <v>9.9</v>
      </c>
      <c r="F13" s="349"/>
    </row>
    <row r="14" spans="1:6" ht="15" customHeight="1">
      <c r="A14" s="3"/>
      <c r="B14" s="394" t="s">
        <v>348</v>
      </c>
      <c r="C14" s="397" t="s">
        <v>62</v>
      </c>
      <c r="D14" s="329">
        <v>3.2199999999999998</v>
      </c>
      <c r="E14" s="329">
        <v>3.1399999999999997</v>
      </c>
      <c r="F14" s="349"/>
    </row>
    <row r="15" spans="1:6" ht="15" customHeight="1">
      <c r="A15" s="3"/>
      <c r="B15" s="394" t="s">
        <v>349</v>
      </c>
      <c r="C15" s="397" t="s">
        <v>350</v>
      </c>
      <c r="D15" s="329">
        <v>58.06</v>
      </c>
      <c r="E15" s="329">
        <v>57.65</v>
      </c>
      <c r="F15" s="349"/>
    </row>
    <row r="16" spans="1:6" ht="15" customHeight="1">
      <c r="B16" s="394" t="s">
        <v>351</v>
      </c>
      <c r="C16" s="397" t="s">
        <v>62</v>
      </c>
      <c r="D16" s="329">
        <v>6.45</v>
      </c>
      <c r="E16" s="329">
        <v>6.81</v>
      </c>
      <c r="F16" s="349"/>
    </row>
    <row r="25" s="5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1"/>
  <sheetViews>
    <sheetView showGridLines="0" workbookViewId="0">
      <selection activeCell="E12" sqref="E12"/>
    </sheetView>
  </sheetViews>
  <sheetFormatPr baseColWidth="10" defaultRowHeight="12.75"/>
  <cols>
    <col min="2" max="2" width="27.7109375" customWidth="1"/>
    <col min="3" max="3" width="14.140625" style="265" bestFit="1" customWidth="1"/>
  </cols>
  <sheetData>
    <row r="3" spans="2:3">
      <c r="B3" s="289" t="s">
        <v>246</v>
      </c>
      <c r="C3" s="330"/>
    </row>
    <row r="4" spans="2:3">
      <c r="B4" s="290" t="s">
        <v>250</v>
      </c>
      <c r="C4" s="292" t="s">
        <v>276</v>
      </c>
    </row>
    <row r="5" spans="2:3">
      <c r="B5" s="290" t="s">
        <v>247</v>
      </c>
      <c r="C5" s="292" t="s">
        <v>276</v>
      </c>
    </row>
    <row r="6" spans="2:3">
      <c r="B6" s="290" t="s">
        <v>251</v>
      </c>
      <c r="C6" s="292" t="s">
        <v>255</v>
      </c>
    </row>
    <row r="7" spans="2:3">
      <c r="B7" s="328"/>
      <c r="C7" s="330"/>
    </row>
    <row r="8" spans="2:3">
      <c r="B8" s="289" t="s">
        <v>275</v>
      </c>
      <c r="C8" s="292" t="s">
        <v>277</v>
      </c>
    </row>
    <row r="9" spans="2:3">
      <c r="B9" s="328"/>
      <c r="C9" s="330"/>
    </row>
    <row r="10" spans="2:3">
      <c r="B10" s="289" t="s">
        <v>248</v>
      </c>
      <c r="C10" s="330"/>
    </row>
    <row r="11" spans="2:3">
      <c r="B11" s="290" t="s">
        <v>252</v>
      </c>
      <c r="C11" s="292" t="s">
        <v>262</v>
      </c>
    </row>
    <row r="12" spans="2:3">
      <c r="B12" s="290" t="s">
        <v>253</v>
      </c>
      <c r="C12" s="292" t="s">
        <v>277</v>
      </c>
    </row>
    <row r="13" spans="2:3">
      <c r="B13" s="290" t="s">
        <v>254</v>
      </c>
      <c r="C13" s="292" t="s">
        <v>255</v>
      </c>
    </row>
    <row r="14" spans="2:3">
      <c r="B14" s="290" t="s">
        <v>256</v>
      </c>
      <c r="C14" s="292" t="s">
        <v>255</v>
      </c>
    </row>
    <row r="15" spans="2:3">
      <c r="B15" s="328"/>
      <c r="C15" s="330"/>
    </row>
    <row r="16" spans="2:3">
      <c r="B16" s="289" t="s">
        <v>249</v>
      </c>
      <c r="C16" s="330"/>
    </row>
    <row r="17" spans="2:3">
      <c r="B17" s="290" t="s">
        <v>257</v>
      </c>
      <c r="C17" s="292" t="s">
        <v>264</v>
      </c>
    </row>
    <row r="18" spans="2:3">
      <c r="B18" s="290" t="s">
        <v>258</v>
      </c>
      <c r="C18" s="292" t="s">
        <v>264</v>
      </c>
    </row>
    <row r="19" spans="2:3">
      <c r="B19" s="290" t="s">
        <v>259</v>
      </c>
      <c r="C19" s="292" t="s">
        <v>264</v>
      </c>
    </row>
    <row r="20" spans="2:3">
      <c r="B20" s="290" t="s">
        <v>260</v>
      </c>
      <c r="C20" s="292" t="s">
        <v>277</v>
      </c>
    </row>
    <row r="21" spans="2:3">
      <c r="B21" s="291" t="s">
        <v>261</v>
      </c>
      <c r="C21" s="292" t="s">
        <v>263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27"/>
  <sheetViews>
    <sheetView showGridLines="0" workbookViewId="0">
      <selection activeCell="B3" sqref="B3:B8"/>
    </sheetView>
  </sheetViews>
  <sheetFormatPr baseColWidth="10" defaultRowHeight="15" customHeight="1"/>
  <cols>
    <col min="1" max="1" width="6" style="2" customWidth="1"/>
    <col min="2" max="2" width="33.28515625" style="2" customWidth="1"/>
    <col min="3" max="16384" width="11.42578125" style="2"/>
  </cols>
  <sheetData>
    <row r="3" spans="2:6" ht="15" customHeight="1" thickBot="1">
      <c r="B3" s="273" t="s">
        <v>352</v>
      </c>
      <c r="C3" s="294" t="s">
        <v>291</v>
      </c>
      <c r="D3" s="294" t="s">
        <v>292</v>
      </c>
      <c r="E3" s="294" t="s">
        <v>265</v>
      </c>
    </row>
    <row r="4" spans="2:6" ht="15" customHeight="1">
      <c r="B4" s="297" t="s">
        <v>353</v>
      </c>
      <c r="C4" s="270">
        <v>123805</v>
      </c>
      <c r="D4" s="270">
        <v>117259</v>
      </c>
      <c r="E4" s="274">
        <v>5.6000000000000001E-2</v>
      </c>
      <c r="F4" s="4"/>
    </row>
    <row r="5" spans="2:6" ht="15" customHeight="1">
      <c r="B5" s="297" t="s">
        <v>354</v>
      </c>
      <c r="C5" s="270">
        <v>-38829</v>
      </c>
      <c r="D5" s="270">
        <v>-69136</v>
      </c>
      <c r="E5" s="274">
        <v>-0.438</v>
      </c>
      <c r="F5" s="4"/>
    </row>
    <row r="6" spans="2:6" ht="15" customHeight="1">
      <c r="B6" s="297" t="s">
        <v>355</v>
      </c>
      <c r="C6" s="270">
        <v>-117728</v>
      </c>
      <c r="D6" s="270">
        <v>-56716</v>
      </c>
      <c r="E6" s="274">
        <v>1.0760000000000001</v>
      </c>
      <c r="F6" s="4"/>
    </row>
    <row r="7" spans="2:6" ht="15" customHeight="1">
      <c r="B7" s="297" t="s">
        <v>356</v>
      </c>
      <c r="C7" s="272">
        <v>-32752</v>
      </c>
      <c r="D7" s="272">
        <v>-8593</v>
      </c>
      <c r="E7" s="275">
        <v>2.8109999999999999</v>
      </c>
      <c r="F7" s="4"/>
    </row>
    <row r="8" spans="2:6" ht="15" customHeight="1">
      <c r="B8" s="271" t="s">
        <v>357</v>
      </c>
      <c r="C8" s="272">
        <v>7548</v>
      </c>
      <c r="D8" s="272">
        <v>28614</v>
      </c>
      <c r="E8" s="275">
        <v>-0.73599999999999999</v>
      </c>
      <c r="F8" s="4"/>
    </row>
    <row r="27" s="5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workbookViewId="0">
      <selection activeCell="M13" sqref="M13"/>
    </sheetView>
  </sheetViews>
  <sheetFormatPr baseColWidth="10" defaultRowHeight="15" customHeight="1"/>
  <cols>
    <col min="2" max="2" width="18.28515625" bestFit="1" customWidth="1"/>
    <col min="4" max="7" width="12.7109375" customWidth="1"/>
    <col min="8" max="8" width="15.7109375" bestFit="1" customWidth="1"/>
  </cols>
  <sheetData>
    <row r="1" spans="2:8" ht="15" customHeight="1">
      <c r="B1" s="328"/>
      <c r="C1" s="328"/>
      <c r="D1" s="328"/>
      <c r="E1" s="351"/>
      <c r="F1" s="351"/>
      <c r="G1" s="351"/>
      <c r="H1" s="351"/>
    </row>
    <row r="2" spans="2:8" ht="15" customHeight="1" thickBot="1">
      <c r="B2" s="332"/>
      <c r="C2" s="399" t="s">
        <v>358</v>
      </c>
      <c r="D2" s="399" t="s">
        <v>273</v>
      </c>
      <c r="E2" s="399" t="s">
        <v>359</v>
      </c>
      <c r="F2" s="399" t="s">
        <v>360</v>
      </c>
      <c r="G2" s="399" t="s">
        <v>361</v>
      </c>
      <c r="H2" s="399" t="s">
        <v>362</v>
      </c>
    </row>
    <row r="3" spans="2:8" ht="15" customHeight="1">
      <c r="B3" s="394" t="s">
        <v>363</v>
      </c>
      <c r="C3" s="276" t="s">
        <v>274</v>
      </c>
      <c r="D3" s="270">
        <v>513924</v>
      </c>
      <c r="E3" s="270">
        <v>79295</v>
      </c>
      <c r="F3" s="270">
        <v>87165</v>
      </c>
      <c r="G3" s="270">
        <v>51991</v>
      </c>
      <c r="H3" s="270">
        <v>295474</v>
      </c>
    </row>
    <row r="4" spans="2:8" ht="15" customHeight="1">
      <c r="B4" s="394" t="s">
        <v>364</v>
      </c>
      <c r="C4" s="276" t="s">
        <v>63</v>
      </c>
      <c r="D4" s="270">
        <v>93602</v>
      </c>
      <c r="E4" s="270">
        <v>7956</v>
      </c>
      <c r="F4" s="270">
        <v>35869</v>
      </c>
      <c r="G4" s="282">
        <v>49778</v>
      </c>
      <c r="H4" s="282">
        <v>0</v>
      </c>
    </row>
    <row r="5" spans="2:8" ht="15" customHeight="1" thickBot="1">
      <c r="B5" s="400" t="s">
        <v>365</v>
      </c>
      <c r="C5" s="287" t="s">
        <v>274</v>
      </c>
      <c r="D5" s="288">
        <v>132372</v>
      </c>
      <c r="E5" s="288">
        <v>2709</v>
      </c>
      <c r="F5" s="288">
        <v>14000</v>
      </c>
      <c r="G5" s="288">
        <v>31750</v>
      </c>
      <c r="H5" s="288">
        <v>83914</v>
      </c>
    </row>
    <row r="6" spans="2:8" ht="15" customHeight="1">
      <c r="B6" s="333" t="s">
        <v>268</v>
      </c>
      <c r="C6" s="328"/>
      <c r="D6" s="272">
        <v>739898</v>
      </c>
      <c r="E6" s="272">
        <v>89960</v>
      </c>
      <c r="F6" s="272">
        <v>137034</v>
      </c>
      <c r="G6" s="272">
        <v>133519</v>
      </c>
      <c r="H6" s="272">
        <v>379388</v>
      </c>
    </row>
    <row r="8" spans="2:8" ht="15" customHeight="1">
      <c r="D8" s="334"/>
      <c r="E8" s="334"/>
      <c r="F8" s="334"/>
      <c r="G8" s="334"/>
      <c r="H8" s="334"/>
    </row>
    <row r="9" spans="2:8" ht="15" customHeight="1">
      <c r="B9" s="336"/>
      <c r="C9" s="337"/>
      <c r="D9" s="338"/>
      <c r="E9" s="336"/>
      <c r="F9" s="336"/>
      <c r="G9" s="337"/>
      <c r="H9" s="338"/>
    </row>
    <row r="10" spans="2:8" ht="15" customHeight="1">
      <c r="B10" s="336"/>
      <c r="C10" s="337"/>
      <c r="D10" s="338"/>
      <c r="E10" s="336"/>
      <c r="F10" s="336"/>
      <c r="G10" s="339"/>
      <c r="H10" s="338"/>
    </row>
    <row r="11" spans="2:8" ht="15" customHeight="1">
      <c r="B11" s="336"/>
      <c r="C11" s="337"/>
      <c r="D11" s="338"/>
      <c r="E11" s="336"/>
      <c r="F11" s="336"/>
      <c r="G11" s="337"/>
      <c r="H11" s="338"/>
    </row>
    <row r="12" spans="2:8" ht="15" customHeight="1">
      <c r="C12" s="335"/>
      <c r="D12" s="334"/>
    </row>
    <row r="13" spans="2:8" ht="15" customHeight="1">
      <c r="D13" s="334"/>
      <c r="E13" s="334"/>
      <c r="F13" s="334"/>
      <c r="G13" s="334"/>
      <c r="H13" s="334"/>
    </row>
    <row r="14" spans="2:8" ht="15" customHeight="1">
      <c r="D14" s="334"/>
      <c r="E14" s="334"/>
      <c r="F14" s="334"/>
      <c r="G14" s="334"/>
      <c r="H14" s="334"/>
    </row>
    <row r="15" spans="2:8" ht="15" customHeight="1">
      <c r="D15" s="334"/>
      <c r="E15" s="334"/>
      <c r="F15" s="334"/>
      <c r="G15" s="334"/>
      <c r="H15" s="33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W203"/>
  <sheetViews>
    <sheetView showGridLines="0" topLeftCell="F25" workbookViewId="0">
      <selection activeCell="R40" sqref="R40"/>
    </sheetView>
  </sheetViews>
  <sheetFormatPr baseColWidth="10" defaultRowHeight="15" customHeight="1"/>
  <cols>
    <col min="1" max="1" width="3.85546875" style="8" customWidth="1"/>
    <col min="2" max="2" width="51.140625" style="8" customWidth="1"/>
    <col min="3" max="3" width="16.28515625" style="8" customWidth="1"/>
    <col min="4" max="4" width="18.85546875" style="8" bestFit="1" customWidth="1"/>
    <col min="5" max="5" width="18.5703125" style="8" bestFit="1" customWidth="1"/>
    <col min="6" max="7" width="16.7109375" style="8" customWidth="1"/>
    <col min="8" max="8" width="4.5703125" style="8" customWidth="1"/>
    <col min="9" max="9" width="31.5703125" style="8" customWidth="1"/>
    <col min="10" max="10" width="7.140625" style="8" customWidth="1"/>
    <col min="11" max="11" width="21" style="8" bestFit="1" customWidth="1"/>
    <col min="12" max="12" width="11.140625" style="102" customWidth="1"/>
    <col min="13" max="13" width="17.85546875" style="102" customWidth="1"/>
    <col min="14" max="14" width="11.140625" style="102" customWidth="1"/>
    <col min="15" max="15" width="1.7109375" style="102" customWidth="1"/>
    <col min="16" max="16" width="10.7109375" style="8" customWidth="1"/>
    <col min="17" max="17" width="11.7109375" style="103" customWidth="1"/>
    <col min="18" max="18" width="9.85546875" style="8" bestFit="1" customWidth="1"/>
    <col min="19" max="19" width="11.85546875" style="8" bestFit="1" customWidth="1"/>
    <col min="20" max="16384" width="11.42578125" style="8"/>
  </cols>
  <sheetData>
    <row r="1" spans="2:23" ht="15" customHeight="1">
      <c r="B1" s="6" t="s">
        <v>244</v>
      </c>
    </row>
    <row r="2" spans="2:23" ht="15" customHeight="1">
      <c r="B2" s="6" t="s">
        <v>243</v>
      </c>
      <c r="R2" s="104"/>
      <c r="S2" s="104"/>
      <c r="T2" s="104"/>
      <c r="U2" s="105"/>
      <c r="V2" s="104"/>
      <c r="W2" s="104"/>
    </row>
    <row r="3" spans="2:23" ht="15" customHeight="1" thickBot="1">
      <c r="I3" s="106" t="s">
        <v>1</v>
      </c>
      <c r="M3" s="107"/>
      <c r="Q3" s="108"/>
      <c r="R3" s="109"/>
      <c r="S3" s="110"/>
      <c r="T3" s="104"/>
      <c r="U3" s="104"/>
      <c r="V3" s="104"/>
      <c r="W3" s="104"/>
    </row>
    <row r="4" spans="2:23" ht="15" customHeight="1" thickBot="1">
      <c r="B4" s="111" t="s">
        <v>3</v>
      </c>
      <c r="C4" s="112"/>
      <c r="D4" s="113" t="s">
        <v>289</v>
      </c>
      <c r="E4" s="114" t="s">
        <v>264</v>
      </c>
      <c r="F4" s="115"/>
      <c r="G4" s="113" t="s">
        <v>290</v>
      </c>
      <c r="I4" s="6" t="s">
        <v>2</v>
      </c>
      <c r="K4" s="116" t="str">
        <f>+D4</f>
        <v>junio 2014</v>
      </c>
      <c r="M4" s="116" t="str">
        <f>+E4</f>
        <v>Diciembre 2013</v>
      </c>
      <c r="O4" s="109"/>
      <c r="P4" s="117"/>
      <c r="Q4" s="108"/>
      <c r="R4" s="109"/>
      <c r="S4" s="118"/>
      <c r="T4" s="118"/>
      <c r="U4" s="119"/>
      <c r="V4" s="118"/>
      <c r="W4" s="118"/>
    </row>
    <row r="5" spans="2:23" ht="15" customHeight="1" thickBot="1">
      <c r="B5" s="120"/>
      <c r="C5" s="121"/>
      <c r="D5" s="121"/>
      <c r="E5" s="122"/>
      <c r="F5" s="109"/>
      <c r="G5" s="121"/>
      <c r="I5" s="123" t="s">
        <v>4</v>
      </c>
      <c r="K5" s="124"/>
      <c r="L5" s="107"/>
      <c r="N5" s="107"/>
      <c r="O5" s="109"/>
      <c r="Q5" s="125"/>
    </row>
    <row r="6" spans="2:23" ht="15" customHeight="1">
      <c r="B6" s="126" t="s">
        <v>44</v>
      </c>
      <c r="C6" s="127" t="s">
        <v>5</v>
      </c>
      <c r="D6" s="128">
        <f>+Balance!D20</f>
        <v>88772522</v>
      </c>
      <c r="E6" s="129">
        <f>+Balance!E20</f>
        <v>134622821</v>
      </c>
      <c r="F6" s="130"/>
      <c r="G6" s="128">
        <v>101976571</v>
      </c>
      <c r="I6" s="6" t="s">
        <v>6</v>
      </c>
      <c r="K6" s="124"/>
      <c r="L6" s="107"/>
      <c r="N6" s="107"/>
      <c r="O6" s="109"/>
      <c r="P6" s="131"/>
      <c r="Q6" s="108"/>
    </row>
    <row r="7" spans="2:23" ht="15" customHeight="1">
      <c r="B7" s="126" t="s">
        <v>45</v>
      </c>
      <c r="C7" s="127" t="s">
        <v>5</v>
      </c>
      <c r="D7" s="128">
        <f>+Balance!D31</f>
        <v>1722491517</v>
      </c>
      <c r="E7" s="129">
        <f>+Balance!E31</f>
        <v>1716132962</v>
      </c>
      <c r="F7" s="130"/>
      <c r="G7" s="128">
        <v>1693024013</v>
      </c>
      <c r="I7" s="10" t="s">
        <v>42</v>
      </c>
      <c r="J7" s="8" t="s">
        <v>7</v>
      </c>
      <c r="K7" s="132">
        <f>+D6</f>
        <v>88772522</v>
      </c>
      <c r="L7" s="133">
        <f>ROUND(K7/K8,2)</f>
        <v>0.71</v>
      </c>
      <c r="M7" s="132">
        <f>+E6</f>
        <v>134622821</v>
      </c>
      <c r="N7" s="133">
        <f>ROUND(M7/M8,2)</f>
        <v>0.61</v>
      </c>
      <c r="O7" s="134"/>
      <c r="P7" s="135">
        <f>ROUND((L7/N7)-1,4)</f>
        <v>0.16389999999999999</v>
      </c>
      <c r="Q7" s="136">
        <f>ROUND((K7/M7)-1,3)</f>
        <v>-0.34100000000000003</v>
      </c>
      <c r="R7" s="124">
        <f>+K7-M7</f>
        <v>-45850299</v>
      </c>
    </row>
    <row r="8" spans="2:23" ht="15" customHeight="1">
      <c r="B8" s="137" t="s">
        <v>8</v>
      </c>
      <c r="C8" s="138"/>
      <c r="D8" s="139">
        <f>SUM(D6:D7)</f>
        <v>1811264039</v>
      </c>
      <c r="E8" s="140">
        <f>SUM(E6:E7)</f>
        <v>1850755783</v>
      </c>
      <c r="F8" s="141"/>
      <c r="G8" s="140">
        <f>SUM(G6:G7)</f>
        <v>1795000584</v>
      </c>
      <c r="I8" s="109" t="s">
        <v>43</v>
      </c>
      <c r="K8" s="124">
        <f>+D10</f>
        <v>125525866</v>
      </c>
      <c r="L8" s="107"/>
      <c r="M8" s="124">
        <f>+E10</f>
        <v>221032510</v>
      </c>
      <c r="N8" s="107"/>
      <c r="O8" s="109"/>
      <c r="P8" s="142"/>
      <c r="Q8" s="136">
        <f>ROUND((K8/M8)-1,3)</f>
        <v>-0.432</v>
      </c>
      <c r="R8" s="124">
        <f>+K8-M8</f>
        <v>-95506644</v>
      </c>
    </row>
    <row r="9" spans="2:23" ht="15" customHeight="1">
      <c r="B9" s="126"/>
      <c r="C9" s="121"/>
      <c r="D9" s="128"/>
      <c r="E9" s="129"/>
      <c r="F9" s="130"/>
      <c r="G9" s="128"/>
      <c r="I9" s="143" t="s">
        <v>9</v>
      </c>
      <c r="K9" s="124"/>
      <c r="L9" s="107"/>
      <c r="M9" s="124"/>
      <c r="N9" s="107"/>
      <c r="O9" s="109"/>
      <c r="P9" s="144"/>
      <c r="Q9" s="108"/>
    </row>
    <row r="10" spans="2:23" ht="15" customHeight="1">
      <c r="B10" s="126" t="s">
        <v>47</v>
      </c>
      <c r="C10" s="127" t="s">
        <v>5</v>
      </c>
      <c r="D10" s="128">
        <f>+Balance!D50</f>
        <v>125525866</v>
      </c>
      <c r="E10" s="129">
        <f>+Balance!E50</f>
        <v>221032510</v>
      </c>
      <c r="F10" s="130">
        <f>+D10-E10</f>
        <v>-95506644</v>
      </c>
      <c r="G10" s="128">
        <v>184073029</v>
      </c>
      <c r="I10" s="145" t="s">
        <v>52</v>
      </c>
      <c r="J10" s="8" t="s">
        <v>7</v>
      </c>
      <c r="K10" s="132">
        <f>+D33</f>
        <v>7547630</v>
      </c>
      <c r="L10" s="133">
        <f>ROUND(K10/K11,2)</f>
        <v>0.06</v>
      </c>
      <c r="M10" s="132">
        <f>+F33</f>
        <v>40299181</v>
      </c>
      <c r="N10" s="133">
        <f>ROUND(M10/M11,2)</f>
        <v>0.18</v>
      </c>
      <c r="O10" s="134"/>
      <c r="P10" s="135">
        <f>ROUND((L10/N10)-1,4)</f>
        <v>-0.66669999999999996</v>
      </c>
      <c r="Q10" s="136">
        <f>ROUND((K10/M10)-1,3)</f>
        <v>-0.81299999999999994</v>
      </c>
      <c r="R10" s="124">
        <f>+K10-M10</f>
        <v>-32751551</v>
      </c>
      <c r="S10" s="267">
        <f>+L10-N10</f>
        <v>-0.12</v>
      </c>
    </row>
    <row r="11" spans="2:23" ht="15" customHeight="1" thickBot="1">
      <c r="B11" s="126" t="s">
        <v>46</v>
      </c>
      <c r="C11" s="127" t="s">
        <v>5</v>
      </c>
      <c r="D11" s="128">
        <f>+Balance!D59</f>
        <v>752494211</v>
      </c>
      <c r="E11" s="129">
        <f>+Balance!E59</f>
        <v>680044052</v>
      </c>
      <c r="F11" s="130">
        <f>+D11-E11</f>
        <v>72450159</v>
      </c>
      <c r="G11" s="128">
        <v>676553678</v>
      </c>
      <c r="I11" s="109" t="s">
        <v>43</v>
      </c>
      <c r="K11" s="124">
        <f>+D10</f>
        <v>125525866</v>
      </c>
      <c r="L11" s="107"/>
      <c r="M11" s="124">
        <f>+E10</f>
        <v>221032510</v>
      </c>
      <c r="N11" s="107"/>
      <c r="O11" s="109"/>
      <c r="P11" s="142"/>
      <c r="Q11" s="136">
        <f>ROUND((K11/M11)-1,3)</f>
        <v>-0.432</v>
      </c>
      <c r="R11" s="124">
        <f>+K11-M11</f>
        <v>-95506644</v>
      </c>
      <c r="S11" s="8">
        <f>+S10/N10</f>
        <v>-0.66666666666666663</v>
      </c>
    </row>
    <row r="12" spans="2:23" ht="15" customHeight="1" thickBot="1">
      <c r="B12" s="126" t="s">
        <v>48</v>
      </c>
      <c r="C12" s="127" t="s">
        <v>5</v>
      </c>
      <c r="D12" s="128">
        <f>+Balance!D71</f>
        <v>359676148</v>
      </c>
      <c r="E12" s="129">
        <f>+Balance!E71</f>
        <v>368767137</v>
      </c>
      <c r="F12" s="130">
        <f>+D12-E12</f>
        <v>-9090989</v>
      </c>
      <c r="G12" s="128">
        <v>361271695</v>
      </c>
      <c r="I12" s="123" t="s">
        <v>10</v>
      </c>
      <c r="K12" s="124"/>
      <c r="L12" s="107"/>
      <c r="M12" s="124"/>
      <c r="N12" s="107"/>
      <c r="O12" s="109"/>
      <c r="P12" s="142"/>
      <c r="Q12" s="108"/>
    </row>
    <row r="13" spans="2:23" ht="15" customHeight="1">
      <c r="B13" s="126" t="s">
        <v>89</v>
      </c>
      <c r="C13" s="127" t="s">
        <v>5</v>
      </c>
      <c r="D13" s="128">
        <f>+Balance!D70</f>
        <v>573567814</v>
      </c>
      <c r="E13" s="129">
        <f>+Balance!E70</f>
        <v>580912084</v>
      </c>
      <c r="F13" s="130">
        <f>+D13-E13</f>
        <v>-7344270</v>
      </c>
      <c r="G13" s="128">
        <v>573156182</v>
      </c>
      <c r="I13" s="6" t="s">
        <v>11</v>
      </c>
      <c r="K13" s="124"/>
      <c r="L13" s="107"/>
      <c r="M13" s="124"/>
      <c r="N13" s="107"/>
      <c r="O13" s="109"/>
      <c r="P13" s="142"/>
      <c r="Q13" s="108"/>
    </row>
    <row r="14" spans="2:23" ht="15" customHeight="1" thickBot="1">
      <c r="B14" s="146" t="s">
        <v>8</v>
      </c>
      <c r="C14" s="147"/>
      <c r="D14" s="148">
        <f>SUM(D10:D13)</f>
        <v>1811264039</v>
      </c>
      <c r="E14" s="149">
        <f>SUM(E10:E13)</f>
        <v>1850755783</v>
      </c>
      <c r="F14" s="141"/>
      <c r="G14" s="149">
        <f>SUM(G10:G13)</f>
        <v>1795054584</v>
      </c>
      <c r="I14" s="10" t="s">
        <v>12</v>
      </c>
      <c r="J14" s="8" t="s">
        <v>7</v>
      </c>
      <c r="K14" s="132">
        <f>+D10+D11</f>
        <v>878020077</v>
      </c>
      <c r="L14" s="150">
        <f>ROUND(K14/K15,4)</f>
        <v>0.94079999999999997</v>
      </c>
      <c r="M14" s="132">
        <f>+E10+E11</f>
        <v>901076562</v>
      </c>
      <c r="N14" s="150">
        <f>ROUND(M14/M15,4)</f>
        <v>0.94879999999999998</v>
      </c>
      <c r="O14" s="151"/>
      <c r="P14" s="135">
        <f>ROUND((L14/N14)-1,4)</f>
        <v>-8.3999999999999995E-3</v>
      </c>
      <c r="Q14" s="136">
        <f>ROUND((K14/M14)-1,3)</f>
        <v>-2.5999999999999999E-2</v>
      </c>
      <c r="R14" s="124">
        <f>+K14-M14</f>
        <v>-23056485</v>
      </c>
    </row>
    <row r="15" spans="2:23" ht="15" customHeight="1" thickBot="1">
      <c r="B15" s="152"/>
      <c r="C15" s="104"/>
      <c r="D15" s="153"/>
      <c r="E15" s="153"/>
      <c r="F15" s="153"/>
      <c r="G15" s="153"/>
      <c r="I15" s="8" t="s">
        <v>87</v>
      </c>
      <c r="K15" s="124">
        <f>+D13+D12</f>
        <v>933243962</v>
      </c>
      <c r="L15" s="107"/>
      <c r="M15" s="124">
        <f>+E13+E12</f>
        <v>949679221</v>
      </c>
      <c r="N15" s="107"/>
      <c r="O15" s="109"/>
      <c r="P15" s="142"/>
      <c r="Q15" s="136">
        <f>ROUND((K15/M15)-1,3)</f>
        <v>-1.7000000000000001E-2</v>
      </c>
      <c r="R15" s="124">
        <f>+K15-M15</f>
        <v>-16435259</v>
      </c>
    </row>
    <row r="16" spans="2:23" ht="15" customHeight="1">
      <c r="B16" s="111" t="s">
        <v>13</v>
      </c>
      <c r="C16" s="112"/>
      <c r="D16" s="154" t="str">
        <f>+D4</f>
        <v>junio 2014</v>
      </c>
      <c r="E16" s="113" t="s">
        <v>290</v>
      </c>
      <c r="F16" s="114" t="s">
        <v>264</v>
      </c>
      <c r="G16" s="343"/>
      <c r="I16" s="6" t="s">
        <v>14</v>
      </c>
      <c r="K16" s="124"/>
      <c r="L16" s="107"/>
      <c r="M16" s="124"/>
      <c r="N16" s="107"/>
      <c r="O16" s="109"/>
      <c r="P16" s="131"/>
      <c r="Q16" s="108"/>
    </row>
    <row r="17" spans="1:21" ht="15" customHeight="1">
      <c r="B17" s="155"/>
      <c r="C17" s="156"/>
      <c r="D17" s="157"/>
      <c r="E17" s="157"/>
      <c r="F17" s="158"/>
      <c r="G17" s="344"/>
      <c r="I17" s="159" t="s">
        <v>43</v>
      </c>
      <c r="J17" s="8" t="s">
        <v>7</v>
      </c>
      <c r="K17" s="132">
        <f>+D10</f>
        <v>125525866</v>
      </c>
      <c r="L17" s="150">
        <f>ROUND(K17/K18,4)</f>
        <v>0.14299999999999999</v>
      </c>
      <c r="M17" s="132">
        <f>+E10</f>
        <v>221032510</v>
      </c>
      <c r="N17" s="150">
        <f>ROUND(M17/M18,4)</f>
        <v>0.24529999999999999</v>
      </c>
      <c r="O17" s="151"/>
      <c r="P17" s="135">
        <f>ROUND((L17/N17)-1,4)</f>
        <v>-0.41699999999999998</v>
      </c>
      <c r="Q17" s="136">
        <f>ROUND((K17/M17)-1,3)</f>
        <v>-0.432</v>
      </c>
      <c r="R17" s="124">
        <f>+K17-M17</f>
        <v>-95506644</v>
      </c>
    </row>
    <row r="18" spans="1:21" ht="15" customHeight="1">
      <c r="B18" s="160" t="s">
        <v>57</v>
      </c>
      <c r="C18" s="161" t="s">
        <v>5</v>
      </c>
      <c r="D18" s="157">
        <f>+C50</f>
        <v>221773656</v>
      </c>
      <c r="E18" s="157">
        <f>+D50</f>
        <v>202381134</v>
      </c>
      <c r="F18" s="158">
        <f>+[2]cálculos!D18</f>
        <v>402791320</v>
      </c>
      <c r="G18" s="344"/>
      <c r="I18" s="8" t="s">
        <v>15</v>
      </c>
      <c r="K18" s="124">
        <f>+D10+D11</f>
        <v>878020077</v>
      </c>
      <c r="L18" s="107"/>
      <c r="M18" s="124">
        <f>+E10+E11</f>
        <v>901076562</v>
      </c>
      <c r="N18" s="107"/>
      <c r="O18" s="109"/>
      <c r="P18" s="142"/>
      <c r="Q18" s="136">
        <f>ROUND((K18/M18)-1,3)</f>
        <v>-2.5999999999999999E-2</v>
      </c>
      <c r="R18" s="124">
        <f>+K18-M18</f>
        <v>-23056485</v>
      </c>
    </row>
    <row r="19" spans="1:21" ht="15" customHeight="1">
      <c r="B19" s="160" t="s">
        <v>58</v>
      </c>
      <c r="C19" s="161" t="s">
        <v>5</v>
      </c>
      <c r="D19" s="157">
        <f>-C51-C53-C54-C55-C52</f>
        <v>113891146</v>
      </c>
      <c r="E19" s="157">
        <f>-D51-D53-D54-D55-D52</f>
        <v>111636751</v>
      </c>
      <c r="F19" s="158">
        <f>+[2]cálculos!D19</f>
        <v>221098572</v>
      </c>
      <c r="G19" s="344"/>
      <c r="I19" s="6" t="s">
        <v>16</v>
      </c>
      <c r="K19" s="124"/>
      <c r="L19" s="107"/>
      <c r="M19" s="124"/>
      <c r="N19" s="107"/>
      <c r="O19" s="109"/>
      <c r="P19" s="131"/>
      <c r="Q19" s="162"/>
      <c r="R19" s="163"/>
      <c r="S19" s="142"/>
      <c r="U19" s="124"/>
    </row>
    <row r="20" spans="1:21" ht="15" customHeight="1">
      <c r="B20" s="155" t="s">
        <v>65</v>
      </c>
      <c r="C20" s="156" t="s">
        <v>5</v>
      </c>
      <c r="D20" s="164">
        <f>+C64</f>
        <v>78402911</v>
      </c>
      <c r="E20" s="164">
        <f>+D64</f>
        <v>80615716</v>
      </c>
      <c r="F20" s="165">
        <f>+[2]cálculos!D20</f>
        <v>148232829</v>
      </c>
      <c r="G20" s="345"/>
      <c r="I20" s="159" t="s">
        <v>53</v>
      </c>
      <c r="J20" s="8" t="s">
        <v>7</v>
      </c>
      <c r="K20" s="132">
        <f>+D11</f>
        <v>752494211</v>
      </c>
      <c r="L20" s="150">
        <f>ROUND(K20/K21,4)</f>
        <v>0.85699999999999998</v>
      </c>
      <c r="M20" s="132">
        <f>+E11</f>
        <v>680044052</v>
      </c>
      <c r="N20" s="150">
        <f>ROUND(M20/M21,4)</f>
        <v>0.75470000000000004</v>
      </c>
      <c r="O20" s="151"/>
      <c r="P20" s="135">
        <f>ROUND((L20/N20)-1,4)</f>
        <v>0.1356</v>
      </c>
      <c r="Q20" s="136">
        <f>ROUND((K20/M20)-1,3)</f>
        <v>0.107</v>
      </c>
      <c r="R20" s="124">
        <f>+K20-M20</f>
        <v>72450159</v>
      </c>
      <c r="S20" s="142"/>
      <c r="U20" s="124"/>
    </row>
    <row r="21" spans="1:21" ht="15" customHeight="1">
      <c r="B21" s="160" t="s">
        <v>19</v>
      </c>
      <c r="C21" s="161" t="s">
        <v>5</v>
      </c>
      <c r="D21" s="157">
        <f>+C58</f>
        <v>-14014702</v>
      </c>
      <c r="E21" s="157">
        <f>+D58</f>
        <v>-14753879</v>
      </c>
      <c r="F21" s="158">
        <f>+[2]cálculos!D21</f>
        <v>-28886895</v>
      </c>
      <c r="G21" s="344"/>
      <c r="I21" s="8" t="s">
        <v>15</v>
      </c>
      <c r="K21" s="124">
        <f>+K18</f>
        <v>878020077</v>
      </c>
      <c r="L21" s="107" t="s">
        <v>1</v>
      </c>
      <c r="M21" s="124">
        <f>+M18</f>
        <v>901076562</v>
      </c>
      <c r="N21" s="107" t="s">
        <v>1</v>
      </c>
      <c r="O21" s="109"/>
      <c r="P21" s="142"/>
      <c r="Q21" s="136">
        <f>ROUND((K21/M21)-1,3)</f>
        <v>-2.5999999999999999E-2</v>
      </c>
      <c r="R21" s="124">
        <f>+K21-M21</f>
        <v>-23056485</v>
      </c>
      <c r="U21" s="124"/>
    </row>
    <row r="22" spans="1:21" ht="15" customHeight="1">
      <c r="B22" s="160" t="s">
        <v>21</v>
      </c>
      <c r="C22" s="161" t="s">
        <v>5</v>
      </c>
      <c r="D22" s="157">
        <f>+K32</f>
        <v>56582328</v>
      </c>
      <c r="E22" s="157">
        <f>+L32</f>
        <v>0</v>
      </c>
      <c r="F22" s="158">
        <f>+[2]cálculos!D22</f>
        <v>119336900</v>
      </c>
      <c r="G22" s="344"/>
      <c r="I22" s="6" t="s">
        <v>17</v>
      </c>
      <c r="K22" s="124"/>
      <c r="L22" s="107"/>
      <c r="M22" s="124"/>
      <c r="N22" s="107"/>
      <c r="O22" s="109"/>
      <c r="P22" s="142"/>
      <c r="Q22" s="166"/>
    </row>
    <row r="23" spans="1:21" ht="15" customHeight="1">
      <c r="B23" s="160" t="s">
        <v>22</v>
      </c>
      <c r="C23" s="161" t="s">
        <v>5</v>
      </c>
      <c r="D23" s="157">
        <f>+C68</f>
        <v>31765630</v>
      </c>
      <c r="E23" s="157">
        <f>+D68</f>
        <v>31354050</v>
      </c>
      <c r="F23" s="158">
        <f>+[2]cálculos!D23</f>
        <v>57647853</v>
      </c>
      <c r="G23" s="344"/>
      <c r="I23" s="10" t="s">
        <v>18</v>
      </c>
      <c r="J23" s="104"/>
      <c r="K23" s="167">
        <f>Anualizados!C13</f>
        <v>174167742</v>
      </c>
      <c r="L23" s="133">
        <f>ROUND(K23/K24,2)</f>
        <v>6.19</v>
      </c>
      <c r="M23" s="167">
        <f>+F20-F21</f>
        <v>177119724</v>
      </c>
      <c r="N23" s="133">
        <f>ROUND(M23/M24,2)</f>
        <v>6.13</v>
      </c>
      <c r="O23" s="168"/>
      <c r="P23" s="135">
        <f>ROUND((L23/N23)-1,4)</f>
        <v>9.7999999999999997E-3</v>
      </c>
      <c r="Q23" s="136">
        <f>ROUND((K23/M23)-1,3)</f>
        <v>-1.7000000000000001E-2</v>
      </c>
      <c r="R23" s="124">
        <f>+K23-M23</f>
        <v>-2951982</v>
      </c>
    </row>
    <row r="24" spans="1:21" ht="15" customHeight="1" thickBot="1">
      <c r="B24" s="160" t="s">
        <v>23</v>
      </c>
      <c r="C24" s="161" t="s">
        <v>5</v>
      </c>
      <c r="D24" s="157">
        <f>+C65</f>
        <v>-12919880</v>
      </c>
      <c r="E24" s="157">
        <f>+D65</f>
        <v>-15962149</v>
      </c>
      <c r="F24" s="158">
        <f>+[2]cálculos!D24</f>
        <v>-29333029</v>
      </c>
      <c r="G24" s="344"/>
      <c r="I24" s="109" t="s">
        <v>20</v>
      </c>
      <c r="K24" s="107">
        <f>Anualizados!C20</f>
        <v>28147718</v>
      </c>
      <c r="L24" s="169"/>
      <c r="M24" s="107">
        <f>-E58</f>
        <v>28886895</v>
      </c>
      <c r="N24" s="169"/>
      <c r="O24" s="109"/>
      <c r="P24" s="124"/>
      <c r="Q24" s="249">
        <f>ROUND((K24/M24)-1,3)</f>
        <v>-2.5999999999999999E-2</v>
      </c>
      <c r="R24" s="124">
        <f>+K24-M24</f>
        <v>-739177</v>
      </c>
      <c r="U24" s="170"/>
    </row>
    <row r="25" spans="1:21" ht="15" customHeight="1" thickBot="1">
      <c r="B25" s="171" t="s">
        <v>59</v>
      </c>
      <c r="C25" s="172" t="s">
        <v>5</v>
      </c>
      <c r="D25" s="173">
        <f>+C53</f>
        <v>-31599517</v>
      </c>
      <c r="E25" s="173">
        <f>+D53</f>
        <v>-32175525</v>
      </c>
      <c r="F25" s="341">
        <f>+[2]cálculos!D25</f>
        <v>-64721070</v>
      </c>
      <c r="G25" s="344"/>
      <c r="I25" s="250" t="s">
        <v>24</v>
      </c>
      <c r="J25" s="251"/>
      <c r="K25" s="252"/>
      <c r="L25" s="253"/>
      <c r="M25" s="252"/>
      <c r="N25" s="253"/>
      <c r="O25" s="254"/>
      <c r="P25" s="255"/>
      <c r="Q25" s="254"/>
      <c r="R25" s="102"/>
      <c r="U25" s="102"/>
    </row>
    <row r="26" spans="1:21" ht="15" customHeight="1" thickBot="1">
      <c r="B26" s="104"/>
      <c r="C26" s="118"/>
      <c r="D26" s="174"/>
      <c r="E26" s="175"/>
      <c r="F26" s="174"/>
      <c r="G26" s="174"/>
      <c r="I26" s="251" t="s">
        <v>54</v>
      </c>
      <c r="J26" s="251" t="s">
        <v>7</v>
      </c>
      <c r="K26" s="256">
        <f>+D23</f>
        <v>31765630</v>
      </c>
      <c r="L26" s="253"/>
      <c r="M26" s="256">
        <f>+F23</f>
        <v>57647853</v>
      </c>
      <c r="N26" s="253"/>
      <c r="O26" s="254"/>
      <c r="P26" s="255"/>
      <c r="Q26" s="254">
        <v>1000</v>
      </c>
      <c r="S26" s="142"/>
    </row>
    <row r="27" spans="1:21" ht="15" customHeight="1">
      <c r="A27" s="176"/>
      <c r="B27" s="111" t="s">
        <v>64</v>
      </c>
      <c r="C27" s="112"/>
      <c r="D27" s="177" t="str">
        <f>+D4</f>
        <v>junio 2014</v>
      </c>
      <c r="E27" s="177" t="str">
        <f>+E16</f>
        <v>Junio 2013</v>
      </c>
      <c r="F27" s="178" t="str">
        <f>+E4</f>
        <v>Diciembre 2013</v>
      </c>
      <c r="G27" s="346"/>
      <c r="I27" s="251" t="s">
        <v>26</v>
      </c>
      <c r="J27" s="251" t="s">
        <v>7</v>
      </c>
      <c r="K27" s="256">
        <f>-D24</f>
        <v>12919880</v>
      </c>
      <c r="L27" s="253"/>
      <c r="M27" s="256">
        <f>-F24</f>
        <v>29333029</v>
      </c>
      <c r="N27" s="253"/>
      <c r="O27" s="254"/>
      <c r="P27" s="255"/>
      <c r="Q27" s="254"/>
      <c r="R27" s="170"/>
      <c r="S27" s="142"/>
      <c r="U27" s="170"/>
    </row>
    <row r="28" spans="1:21" ht="15" customHeight="1">
      <c r="B28" s="126" t="s">
        <v>49</v>
      </c>
      <c r="C28" s="127" t="s">
        <v>5</v>
      </c>
      <c r="D28" s="179">
        <f>+Flujo!F23</f>
        <v>123805440</v>
      </c>
      <c r="E28" s="179">
        <f>+Flujo!G23</f>
        <v>117259157</v>
      </c>
      <c r="F28" s="180">
        <f>+[2]cálculos!D28</f>
        <v>202592537</v>
      </c>
      <c r="G28" s="174"/>
      <c r="I28" s="251" t="s">
        <v>27</v>
      </c>
      <c r="J28" s="251" t="s">
        <v>7</v>
      </c>
      <c r="K28" s="256">
        <f>-D21</f>
        <v>14014702</v>
      </c>
      <c r="L28" s="253"/>
      <c r="M28" s="256">
        <f>-F21</f>
        <v>28886895</v>
      </c>
      <c r="N28" s="253"/>
      <c r="O28" s="257"/>
      <c r="P28" s="255"/>
      <c r="Q28" s="257"/>
      <c r="R28" s="107"/>
      <c r="S28" s="142"/>
      <c r="U28" s="107"/>
    </row>
    <row r="29" spans="1:21" ht="15" customHeight="1">
      <c r="A29" s="181"/>
      <c r="B29" s="126" t="s">
        <v>50</v>
      </c>
      <c r="C29" s="127" t="s">
        <v>5</v>
      </c>
      <c r="D29" s="179">
        <f>+Flujo!F49</f>
        <v>-38828741</v>
      </c>
      <c r="E29" s="179">
        <f>+Flujo!G49</f>
        <v>-69135905</v>
      </c>
      <c r="F29" s="180">
        <f>+[2]cálculos!D29</f>
        <v>-119029257</v>
      </c>
      <c r="G29" s="174"/>
      <c r="I29" s="251" t="s">
        <v>60</v>
      </c>
      <c r="J29" s="251" t="s">
        <v>7</v>
      </c>
      <c r="K29" s="256">
        <f>-D25</f>
        <v>31599517</v>
      </c>
      <c r="L29" s="253"/>
      <c r="M29" s="256">
        <f>-F25</f>
        <v>64721070</v>
      </c>
      <c r="N29" s="253"/>
      <c r="O29" s="254"/>
      <c r="P29" s="255"/>
      <c r="Q29" s="254"/>
      <c r="S29" s="142"/>
    </row>
    <row r="30" spans="1:21" ht="15" customHeight="1">
      <c r="A30" s="182"/>
      <c r="B30" s="126" t="s">
        <v>51</v>
      </c>
      <c r="C30" s="127" t="s">
        <v>5</v>
      </c>
      <c r="D30" s="179">
        <f>+Flujo!F67</f>
        <v>-117728250</v>
      </c>
      <c r="E30" s="179">
        <f>+Flujo!G67</f>
        <v>-56715869</v>
      </c>
      <c r="F30" s="180">
        <f>+[2]cálculos!D30</f>
        <v>-80470747</v>
      </c>
      <c r="G30" s="174"/>
      <c r="I30" s="251" t="s">
        <v>61</v>
      </c>
      <c r="J30" s="251" t="s">
        <v>7</v>
      </c>
      <c r="K30" s="256">
        <f>-C66</f>
        <v>-33717401</v>
      </c>
      <c r="L30" s="258"/>
      <c r="M30" s="256">
        <f>-E66</f>
        <v>-61251947</v>
      </c>
      <c r="N30" s="258"/>
      <c r="O30" s="254"/>
      <c r="P30" s="255"/>
      <c r="Q30" s="254"/>
      <c r="R30" s="183"/>
      <c r="S30" s="142"/>
      <c r="U30" s="183"/>
    </row>
    <row r="31" spans="1:21" ht="15" customHeight="1">
      <c r="A31" s="182"/>
      <c r="B31" s="120" t="s">
        <v>25</v>
      </c>
      <c r="C31" s="127" t="s">
        <v>5</v>
      </c>
      <c r="D31" s="184">
        <f>SUM(D28:D30)</f>
        <v>-32751551</v>
      </c>
      <c r="E31" s="184">
        <f>SUM(E28:E30)</f>
        <v>-8592617</v>
      </c>
      <c r="F31" s="185">
        <f>+[2]cálculos!D31</f>
        <v>3092533</v>
      </c>
      <c r="G31" s="347"/>
      <c r="I31" s="251" t="s">
        <v>30</v>
      </c>
      <c r="J31" s="251" t="s">
        <v>7</v>
      </c>
      <c r="K31" s="256">
        <v>0</v>
      </c>
      <c r="L31" s="253"/>
      <c r="M31" s="256">
        <v>0</v>
      </c>
      <c r="N31" s="253"/>
      <c r="O31" s="254"/>
      <c r="P31" s="255"/>
      <c r="Q31" s="254"/>
      <c r="S31" s="142"/>
    </row>
    <row r="32" spans="1:21" ht="15" customHeight="1">
      <c r="A32" s="182"/>
      <c r="B32" s="126" t="s">
        <v>28</v>
      </c>
      <c r="C32" s="127" t="s">
        <v>5</v>
      </c>
      <c r="D32" s="179">
        <f>+Flujo!F75</f>
        <v>40299181</v>
      </c>
      <c r="E32" s="179">
        <f>+Flujo!G75</f>
        <v>37206648</v>
      </c>
      <c r="F32" s="180">
        <f>+[2]cálculos!D32</f>
        <v>37206648</v>
      </c>
      <c r="G32" s="174"/>
      <c r="I32" s="259" t="s">
        <v>21</v>
      </c>
      <c r="J32" s="251"/>
      <c r="K32" s="260">
        <f>SUM(K26:K31)</f>
        <v>56582328</v>
      </c>
      <c r="L32" s="253"/>
      <c r="M32" s="260">
        <f>SUM(M26:M31)</f>
        <v>119336900</v>
      </c>
      <c r="N32" s="261">
        <f>ROUND((K32/M32)-1,4)</f>
        <v>-0.52590000000000003</v>
      </c>
      <c r="O32" s="257"/>
      <c r="P32" s="262"/>
      <c r="Q32" s="251"/>
      <c r="S32" s="142"/>
    </row>
    <row r="33" spans="1:21" ht="15" customHeight="1" thickBot="1">
      <c r="B33" s="146" t="s">
        <v>29</v>
      </c>
      <c r="C33" s="187" t="s">
        <v>5</v>
      </c>
      <c r="D33" s="188">
        <f>+D32+D31</f>
        <v>7547630</v>
      </c>
      <c r="E33" s="188">
        <f>+E32+E31</f>
        <v>28614031</v>
      </c>
      <c r="F33" s="189">
        <f>+F32+F31</f>
        <v>40299181</v>
      </c>
      <c r="G33" s="348"/>
      <c r="I33" s="259"/>
      <c r="J33" s="251"/>
      <c r="K33" s="252"/>
      <c r="L33" s="253"/>
      <c r="M33" s="252"/>
      <c r="N33" s="253"/>
      <c r="O33" s="257"/>
      <c r="P33" s="255"/>
      <c r="Q33" s="251"/>
      <c r="R33" s="190"/>
      <c r="S33" s="142"/>
      <c r="U33" s="190"/>
    </row>
    <row r="34" spans="1:21" ht="15" customHeight="1" thickBot="1">
      <c r="I34" s="259"/>
      <c r="J34" s="251"/>
      <c r="K34" s="252"/>
      <c r="L34" s="263"/>
      <c r="M34" s="252"/>
      <c r="N34" s="263"/>
      <c r="O34" s="257"/>
      <c r="P34" s="262"/>
      <c r="Q34" s="264"/>
      <c r="R34" s="107"/>
      <c r="S34" s="142"/>
      <c r="U34" s="107"/>
    </row>
    <row r="35" spans="1:21" ht="15" customHeight="1">
      <c r="B35" s="192" t="s">
        <v>80</v>
      </c>
      <c r="C35" s="193" t="s">
        <v>264</v>
      </c>
      <c r="D35" s="194">
        <f>+E13</f>
        <v>580912084</v>
      </c>
      <c r="E35" s="142"/>
      <c r="F35" s="142"/>
      <c r="G35" s="142"/>
      <c r="I35" s="259" t="s">
        <v>55</v>
      </c>
      <c r="J35" s="251"/>
      <c r="K35" s="252">
        <f>+D18</f>
        <v>221773656</v>
      </c>
      <c r="L35" s="253"/>
      <c r="M35" s="252">
        <f>+E18</f>
        <v>202381134</v>
      </c>
      <c r="N35" s="253"/>
      <c r="O35" s="257"/>
      <c r="P35" s="251"/>
      <c r="Q35" s="264">
        <f>ROUND((K35/M35)-1,4)</f>
        <v>9.5799999999999996E-2</v>
      </c>
      <c r="S35" s="142"/>
    </row>
    <row r="36" spans="1:21" ht="15" customHeight="1" thickBot="1">
      <c r="B36" s="195" t="s">
        <v>80</v>
      </c>
      <c r="C36" s="196" t="s">
        <v>239</v>
      </c>
      <c r="D36" s="197">
        <f>+[2]cálculos!$D$35</f>
        <v>583787641</v>
      </c>
      <c r="E36" s="142"/>
      <c r="F36" s="142"/>
      <c r="G36" s="142"/>
      <c r="I36" s="6"/>
      <c r="K36" s="186"/>
      <c r="L36" s="107"/>
      <c r="M36" s="186"/>
      <c r="N36" s="107"/>
      <c r="O36" s="163"/>
      <c r="Q36" s="163"/>
      <c r="S36" s="142"/>
    </row>
    <row r="37" spans="1:21" ht="15" customHeight="1" thickBot="1">
      <c r="B37" s="195" t="s">
        <v>80</v>
      </c>
      <c r="C37" s="196" t="s">
        <v>279</v>
      </c>
      <c r="D37" s="197">
        <f>+G13</f>
        <v>573156182</v>
      </c>
      <c r="E37" s="142"/>
      <c r="F37" s="142"/>
      <c r="G37" s="142"/>
      <c r="I37" s="123" t="s">
        <v>31</v>
      </c>
      <c r="K37" s="124"/>
      <c r="L37" s="107"/>
      <c r="M37" s="124"/>
      <c r="N37" s="107"/>
      <c r="O37" s="109"/>
      <c r="Q37" s="163"/>
      <c r="R37" s="170"/>
      <c r="S37" s="170" t="s">
        <v>1</v>
      </c>
      <c r="U37" s="170"/>
    </row>
    <row r="38" spans="1:21" ht="15" customHeight="1">
      <c r="B38" s="195" t="s">
        <v>0</v>
      </c>
      <c r="C38" s="196" t="s">
        <v>239</v>
      </c>
      <c r="D38" s="198">
        <f>+[2]cálculos!$D$39</f>
        <v>1819287669</v>
      </c>
      <c r="E38" s="142"/>
      <c r="F38" s="142"/>
      <c r="G38" s="142"/>
      <c r="I38" s="6" t="s">
        <v>32</v>
      </c>
      <c r="K38" s="124"/>
      <c r="L38" s="107"/>
      <c r="M38" s="124"/>
      <c r="N38" s="107"/>
      <c r="O38" s="109"/>
      <c r="P38" s="199"/>
      <c r="Q38" s="8"/>
      <c r="S38" s="142"/>
    </row>
    <row r="39" spans="1:21" ht="15" customHeight="1" thickBot="1">
      <c r="B39" s="200" t="s">
        <v>0</v>
      </c>
      <c r="C39" s="201" t="s">
        <v>279</v>
      </c>
      <c r="D39" s="202">
        <f>+G8</f>
        <v>1795000584</v>
      </c>
      <c r="I39" s="10" t="s">
        <v>33</v>
      </c>
      <c r="J39" s="8" t="s">
        <v>7</v>
      </c>
      <c r="K39" s="132">
        <f>Anualizados!C6</f>
        <v>58059433</v>
      </c>
      <c r="L39" s="150">
        <f>ROUND(K39/K40,4)*100</f>
        <v>10.130000000000001</v>
      </c>
      <c r="M39" s="132">
        <f>+E68</f>
        <v>57647853</v>
      </c>
      <c r="N39" s="150">
        <f>ROUND(M39/M40,4)*100</f>
        <v>9.9</v>
      </c>
      <c r="O39" s="151"/>
      <c r="P39" s="135">
        <f>ROUND((L39/N39)-1,4)</f>
        <v>2.3199999999999998E-2</v>
      </c>
      <c r="Q39" s="136">
        <f>ROUND((K39/M39)-1,3)</f>
        <v>7.0000000000000001E-3</v>
      </c>
      <c r="R39" s="124">
        <f>+K39-M39</f>
        <v>411580</v>
      </c>
      <c r="S39" s="135"/>
    </row>
    <row r="40" spans="1:21" ht="15" customHeight="1" thickBot="1">
      <c r="I40" s="8" t="s">
        <v>81</v>
      </c>
      <c r="J40" s="8" t="s">
        <v>1</v>
      </c>
      <c r="K40" s="124">
        <f>ROUND((D37+D13)/2,0)</f>
        <v>573361998</v>
      </c>
      <c r="L40" s="107"/>
      <c r="M40" s="124">
        <f>ROUND((D35+D36)/2,0)</f>
        <v>582349863</v>
      </c>
      <c r="N40" s="107"/>
      <c r="O40" s="109"/>
      <c r="P40" s="135"/>
      <c r="Q40" s="136">
        <f>ROUND((K40/M40)-1,3)</f>
        <v>-1.4999999999999999E-2</v>
      </c>
      <c r="R40" s="124">
        <f>+K40-M40</f>
        <v>-8987865</v>
      </c>
      <c r="S40" s="142"/>
    </row>
    <row r="41" spans="1:21" ht="15" customHeight="1">
      <c r="B41" s="203" t="s">
        <v>56</v>
      </c>
      <c r="C41" s="113" t="s">
        <v>293</v>
      </c>
      <c r="D41" s="114" t="s">
        <v>280</v>
      </c>
      <c r="I41" s="6" t="s">
        <v>34</v>
      </c>
      <c r="K41" s="124"/>
      <c r="L41" s="107"/>
      <c r="M41" s="124"/>
      <c r="N41" s="107"/>
      <c r="O41" s="109"/>
      <c r="P41" s="199"/>
      <c r="Q41" s="204"/>
      <c r="R41" s="135"/>
      <c r="S41" s="142"/>
    </row>
    <row r="42" spans="1:21" ht="15" customHeight="1">
      <c r="B42" s="126"/>
      <c r="C42" s="205"/>
      <c r="D42" s="206"/>
      <c r="I42" s="10" t="s">
        <v>33</v>
      </c>
      <c r="J42" s="8" t="s">
        <v>7</v>
      </c>
      <c r="K42" s="167">
        <f>+K39</f>
        <v>58059433</v>
      </c>
      <c r="L42" s="150">
        <f>ROUND(K42/K43,4)*100</f>
        <v>3.2199999999999998</v>
      </c>
      <c r="M42" s="167">
        <f>+M39</f>
        <v>57647853</v>
      </c>
      <c r="N42" s="150">
        <f>ROUND(M42/M43,4)*100</f>
        <v>3.1399999999999997</v>
      </c>
      <c r="O42" s="151"/>
      <c r="P42" s="135">
        <f>ROUND((L42/N42)-1,4)</f>
        <v>2.5499999999999998E-2</v>
      </c>
      <c r="Q42" s="136">
        <f>ROUND((K42/M42)-1,3)</f>
        <v>7.0000000000000001E-3</v>
      </c>
      <c r="R42" s="124">
        <f>+K42-M42</f>
        <v>411580</v>
      </c>
    </row>
    <row r="43" spans="1:21" ht="15" customHeight="1">
      <c r="A43" s="8">
        <v>22</v>
      </c>
      <c r="B43" s="126" t="s">
        <v>294</v>
      </c>
      <c r="C43" s="121">
        <v>39.109900000000003</v>
      </c>
      <c r="D43" s="122"/>
      <c r="I43" s="8" t="s">
        <v>35</v>
      </c>
      <c r="J43" s="8" t="s">
        <v>1</v>
      </c>
      <c r="K43" s="207">
        <f>ROUND((+D8+D39)/2,0)</f>
        <v>1803132312</v>
      </c>
      <c r="L43" s="107"/>
      <c r="M43" s="207">
        <f>ROUND((E8+D38)/2,0)</f>
        <v>1835021726</v>
      </c>
      <c r="N43" s="107"/>
      <c r="O43" s="208"/>
      <c r="P43" s="135"/>
      <c r="Q43" s="136">
        <f>ROUND((K43/M43)-1,3)</f>
        <v>-1.7000000000000001E-2</v>
      </c>
      <c r="R43" s="124">
        <f>+K43-M43</f>
        <v>-31889414</v>
      </c>
    </row>
    <row r="44" spans="1:21" ht="15" customHeight="1">
      <c r="A44" s="8">
        <v>21</v>
      </c>
      <c r="B44" s="126" t="s">
        <v>242</v>
      </c>
      <c r="C44" s="205">
        <v>18.5379</v>
      </c>
      <c r="D44" s="206">
        <v>18.5379</v>
      </c>
      <c r="I44" s="6" t="s">
        <v>36</v>
      </c>
      <c r="K44" s="124"/>
      <c r="L44" s="107"/>
      <c r="M44" s="124"/>
      <c r="N44" s="107"/>
      <c r="O44" s="109"/>
      <c r="Q44" s="209"/>
    </row>
    <row r="45" spans="1:21" ht="15" customHeight="1">
      <c r="A45" s="8">
        <v>20</v>
      </c>
      <c r="B45" s="126" t="s">
        <v>241</v>
      </c>
      <c r="C45" s="121"/>
      <c r="D45" s="122">
        <v>42.2149</v>
      </c>
      <c r="I45" s="10" t="s">
        <v>37</v>
      </c>
      <c r="J45" s="8" t="s">
        <v>7</v>
      </c>
      <c r="K45" s="132">
        <f>+K42*1000</f>
        <v>58059433000</v>
      </c>
      <c r="L45" s="133">
        <f>ROUND(K45/K46,2)</f>
        <v>58.06</v>
      </c>
      <c r="M45" s="132">
        <f>+M39*1000</f>
        <v>57647853000</v>
      </c>
      <c r="N45" s="133">
        <f>ROUND(M45/M46,2)</f>
        <v>57.65</v>
      </c>
      <c r="O45" s="210"/>
      <c r="P45" s="135">
        <f>ROUND((L45/N45)-1,4)</f>
        <v>7.1000000000000004E-3</v>
      </c>
      <c r="Q45" s="136">
        <f>ROUND((K45/M45)-1,3)</f>
        <v>7.0000000000000001E-3</v>
      </c>
    </row>
    <row r="46" spans="1:21" ht="15" customHeight="1" thickBot="1">
      <c r="B46" s="211"/>
      <c r="C46" s="212">
        <f>SUM(C42:C45)</f>
        <v>57.647800000000004</v>
      </c>
      <c r="D46" s="213">
        <f>SUM(D42:D45)</f>
        <v>60.752800000000001</v>
      </c>
      <c r="E46" s="214"/>
      <c r="I46" s="8" t="s">
        <v>38</v>
      </c>
      <c r="K46" s="124">
        <v>1000000000</v>
      </c>
      <c r="L46" s="107"/>
      <c r="M46" s="124">
        <v>1000000000</v>
      </c>
      <c r="N46" s="107"/>
      <c r="O46" s="109"/>
      <c r="Q46" s="136">
        <f>ROUND((K46/M46)-1,3)</f>
        <v>0</v>
      </c>
    </row>
    <row r="47" spans="1:21" ht="15" customHeight="1">
      <c r="E47" s="215"/>
      <c r="K47" s="124"/>
      <c r="L47" s="107"/>
      <c r="M47" s="216" t="s">
        <v>1</v>
      </c>
      <c r="N47" s="107"/>
      <c r="O47" s="109"/>
      <c r="P47" s="199"/>
    </row>
    <row r="48" spans="1:21" ht="15" customHeight="1" thickBot="1">
      <c r="C48" s="215"/>
      <c r="D48" s="215"/>
      <c r="E48" s="215"/>
      <c r="I48" s="6" t="s">
        <v>39</v>
      </c>
      <c r="K48" s="124"/>
      <c r="L48" s="107"/>
      <c r="M48" s="216"/>
      <c r="N48" s="107"/>
      <c r="O48" s="109"/>
      <c r="P48" s="199"/>
    </row>
    <row r="49" spans="2:17" ht="15" customHeight="1">
      <c r="B49" s="111" t="s">
        <v>245</v>
      </c>
      <c r="C49" s="222" t="str">
        <f>+D16</f>
        <v>junio 2014</v>
      </c>
      <c r="D49" s="222" t="str">
        <f>+E16</f>
        <v>Junio 2013</v>
      </c>
      <c r="E49" s="223" t="str">
        <f>+F16</f>
        <v>Diciembre 2013</v>
      </c>
      <c r="I49" s="10" t="s">
        <v>40</v>
      </c>
      <c r="J49" s="8" t="s">
        <v>7</v>
      </c>
      <c r="K49" s="217">
        <f>+C46</f>
        <v>57.647800000000004</v>
      </c>
      <c r="L49" s="150">
        <f>ROUND(K49/K50,4)*100</f>
        <v>6.45</v>
      </c>
      <c r="M49" s="218">
        <f>+D46</f>
        <v>60.752800000000001</v>
      </c>
      <c r="N49" s="150">
        <f>ROUND(M49/M50,4)*100</f>
        <v>6.81</v>
      </c>
      <c r="O49" s="190"/>
      <c r="P49" s="135">
        <f>ROUND((L49/N49)-1,4)</f>
        <v>-5.2900000000000003E-2</v>
      </c>
      <c r="Q49" s="136">
        <f>ROUND((K49/M49)-1,3)</f>
        <v>-5.0999999999999997E-2</v>
      </c>
    </row>
    <row r="50" spans="2:17" ht="15" customHeight="1">
      <c r="B50" s="126" t="s">
        <v>90</v>
      </c>
      <c r="C50" s="224">
        <f>+Resultado!D7</f>
        <v>221773656</v>
      </c>
      <c r="D50" s="224">
        <f>+Resultado!E7</f>
        <v>202381134</v>
      </c>
      <c r="E50" s="225">
        <f>+[2]cálculos!C50</f>
        <v>402791320</v>
      </c>
      <c r="F50" s="226">
        <f>+C50-D50</f>
        <v>19392522</v>
      </c>
      <c r="G50" s="226"/>
      <c r="I50" s="8" t="s">
        <v>41</v>
      </c>
      <c r="K50" s="169">
        <v>893.59</v>
      </c>
      <c r="L50" s="169" t="s">
        <v>1</v>
      </c>
      <c r="M50" s="169">
        <v>892.25</v>
      </c>
      <c r="N50" s="169" t="s">
        <v>1</v>
      </c>
      <c r="O50" s="219"/>
      <c r="P50" s="135"/>
      <c r="Q50" s="136">
        <f>ROUND((K50/M50)-1,3)</f>
        <v>2E-3</v>
      </c>
    </row>
    <row r="51" spans="2:17" ht="15" customHeight="1">
      <c r="B51" s="126" t="s">
        <v>91</v>
      </c>
      <c r="C51" s="224">
        <f>+Resultado!D8</f>
        <v>-13806238</v>
      </c>
      <c r="D51" s="224">
        <f>+Resultado!E8</f>
        <v>-13857832</v>
      </c>
      <c r="E51" s="225">
        <f>+[2]cálculos!C51</f>
        <v>-27416534</v>
      </c>
      <c r="F51" s="226">
        <f t="shared" ref="F51:F68" si="0">+C51-D51</f>
        <v>51594</v>
      </c>
      <c r="G51" s="226"/>
      <c r="M51" s="8"/>
      <c r="N51" s="8"/>
      <c r="O51" s="8"/>
      <c r="Q51" s="209"/>
    </row>
    <row r="52" spans="2:17" ht="15" customHeight="1">
      <c r="B52" s="126" t="s">
        <v>82</v>
      </c>
      <c r="C52" s="224">
        <f>+Resultado!D9</f>
        <v>-21561893</v>
      </c>
      <c r="D52" s="224">
        <f>+Resultado!E9</f>
        <v>-19951040</v>
      </c>
      <c r="E52" s="225">
        <f>+[2]cálculos!C52</f>
        <v>-40811406</v>
      </c>
      <c r="F52" s="226">
        <f t="shared" si="0"/>
        <v>-1610853</v>
      </c>
      <c r="G52" s="226"/>
      <c r="K52" s="215"/>
      <c r="M52" s="8"/>
      <c r="N52" s="220"/>
      <c r="O52" s="8"/>
    </row>
    <row r="53" spans="2:17" ht="15" customHeight="1">
      <c r="B53" s="126" t="s">
        <v>83</v>
      </c>
      <c r="C53" s="224">
        <f>+Resultado!D10</f>
        <v>-31599517</v>
      </c>
      <c r="D53" s="224">
        <f>+Resultado!E10</f>
        <v>-32175525</v>
      </c>
      <c r="E53" s="225">
        <f>+[2]cálculos!C53</f>
        <v>-64721070</v>
      </c>
      <c r="F53" s="226">
        <f t="shared" si="0"/>
        <v>576008</v>
      </c>
      <c r="G53" s="226"/>
      <c r="K53" s="215"/>
      <c r="M53" s="8"/>
      <c r="N53" s="8"/>
      <c r="O53" s="8"/>
    </row>
    <row r="54" spans="2:17" ht="15" customHeight="1">
      <c r="B54" s="126" t="s">
        <v>92</v>
      </c>
      <c r="C54" s="224">
        <f>+Resultado!D11</f>
        <v>0</v>
      </c>
      <c r="D54" s="224">
        <f>+Resultado!E11</f>
        <v>0</v>
      </c>
      <c r="E54" s="225">
        <f>+[2]cálculos!C54</f>
        <v>0</v>
      </c>
      <c r="F54" s="226">
        <f t="shared" si="0"/>
        <v>0</v>
      </c>
      <c r="G54" s="226"/>
      <c r="M54" s="8"/>
      <c r="N54" s="8"/>
      <c r="O54" s="8"/>
      <c r="Q54" s="221"/>
    </row>
    <row r="55" spans="2:17" ht="15" customHeight="1">
      <c r="B55" s="126" t="s">
        <v>93</v>
      </c>
      <c r="C55" s="224">
        <f>+Resultado!D12</f>
        <v>-46923498</v>
      </c>
      <c r="D55" s="224">
        <f>+Resultado!E12</f>
        <v>-45652354</v>
      </c>
      <c r="E55" s="225">
        <f>+[2]cálculos!C55</f>
        <v>-88149562</v>
      </c>
      <c r="F55" s="226">
        <f t="shared" si="0"/>
        <v>-1271144</v>
      </c>
      <c r="G55" s="226"/>
      <c r="M55" s="8"/>
      <c r="N55" s="8"/>
      <c r="O55" s="8"/>
    </row>
    <row r="56" spans="2:17" ht="15" customHeight="1">
      <c r="B56" s="120" t="s">
        <v>67</v>
      </c>
      <c r="C56" s="237">
        <f>SUM(C50:C55)</f>
        <v>107882510</v>
      </c>
      <c r="D56" s="237">
        <f>SUM(D50:D55)</f>
        <v>90744383</v>
      </c>
      <c r="E56" s="237">
        <f>SUM(E50:E55)</f>
        <v>181692748</v>
      </c>
      <c r="F56" s="226">
        <f t="shared" si="0"/>
        <v>17138127</v>
      </c>
      <c r="G56" s="226"/>
      <c r="I56" s="227"/>
      <c r="J56" s="228"/>
      <c r="K56" s="229"/>
      <c r="L56" s="230"/>
      <c r="M56" s="229"/>
      <c r="N56" s="230"/>
      <c r="O56" s="109"/>
      <c r="P56" s="130"/>
      <c r="Q56" s="231"/>
    </row>
    <row r="57" spans="2:17" ht="15" customHeight="1">
      <c r="B57" s="126" t="s">
        <v>68</v>
      </c>
      <c r="C57" s="224">
        <f>+Resultado!D14</f>
        <v>2989207</v>
      </c>
      <c r="D57" s="224">
        <f>+Resultado!E14</f>
        <v>4396713</v>
      </c>
      <c r="E57" s="225">
        <f>+[2]cálculos!C57</f>
        <v>7056285</v>
      </c>
      <c r="F57" s="226">
        <f t="shared" si="0"/>
        <v>-1407506</v>
      </c>
      <c r="G57" s="226"/>
      <c r="I57" s="227"/>
      <c r="J57" s="228"/>
      <c r="K57" s="229"/>
      <c r="L57" s="230"/>
      <c r="M57" s="229"/>
      <c r="N57" s="230"/>
      <c r="O57" s="109"/>
      <c r="P57" s="153"/>
      <c r="Q57" s="108"/>
    </row>
    <row r="58" spans="2:17" ht="15" customHeight="1">
      <c r="B58" s="126" t="s">
        <v>69</v>
      </c>
      <c r="C58" s="224">
        <f>+Resultado!D15</f>
        <v>-14014702</v>
      </c>
      <c r="D58" s="224">
        <f>+Resultado!E15</f>
        <v>-14753879</v>
      </c>
      <c r="E58" s="225">
        <f>+[2]cálculos!C58</f>
        <v>-28886895</v>
      </c>
      <c r="F58" s="226">
        <f t="shared" si="0"/>
        <v>739177</v>
      </c>
      <c r="G58" s="226"/>
      <c r="I58" s="228"/>
      <c r="J58" s="228"/>
      <c r="K58" s="229"/>
      <c r="L58" s="232"/>
      <c r="M58" s="229"/>
      <c r="N58" s="232"/>
      <c r="O58" s="190"/>
      <c r="P58" s="233"/>
      <c r="Q58" s="191"/>
    </row>
    <row r="59" spans="2:17" ht="15" customHeight="1">
      <c r="B59" s="126" t="s">
        <v>70</v>
      </c>
      <c r="C59" s="224">
        <f>+Resultado!D16</f>
        <v>-22467</v>
      </c>
      <c r="D59" s="224">
        <f>+Resultado!E16</f>
        <v>2140</v>
      </c>
      <c r="E59" s="225">
        <f>+[2]cálculos!C59</f>
        <v>-1529</v>
      </c>
      <c r="F59" s="226">
        <f t="shared" si="0"/>
        <v>-24607</v>
      </c>
      <c r="G59" s="226"/>
      <c r="I59" s="228"/>
      <c r="J59" s="228"/>
      <c r="K59" s="230"/>
      <c r="L59" s="234"/>
      <c r="M59" s="230"/>
      <c r="N59" s="234"/>
      <c r="O59" s="109"/>
      <c r="P59" s="153"/>
      <c r="Q59" s="191"/>
    </row>
    <row r="60" spans="2:17" ht="15" customHeight="1">
      <c r="B60" s="126" t="s">
        <v>71</v>
      </c>
      <c r="C60" s="224">
        <f>+Resultado!D17</f>
        <v>-19021584</v>
      </c>
      <c r="D60" s="224">
        <f>+Resultado!E17</f>
        <v>-487521</v>
      </c>
      <c r="E60" s="225">
        <f>+[2]cálculos!C60</f>
        <v>-12954456</v>
      </c>
      <c r="F60" s="226">
        <f t="shared" si="0"/>
        <v>-18534063</v>
      </c>
      <c r="G60" s="226"/>
      <c r="I60" s="227"/>
      <c r="J60" s="228"/>
      <c r="K60" s="229"/>
      <c r="L60" s="230"/>
      <c r="M60" s="229"/>
      <c r="N60" s="230"/>
      <c r="O60" s="109"/>
      <c r="P60" s="153"/>
      <c r="Q60" s="108"/>
    </row>
    <row r="61" spans="2:17" ht="15" customHeight="1">
      <c r="B61" s="120" t="s">
        <v>72</v>
      </c>
      <c r="C61" s="237">
        <f>SUM(C57:C60)</f>
        <v>-30069546</v>
      </c>
      <c r="D61" s="237">
        <f>SUM(D57:D60)</f>
        <v>-10842547</v>
      </c>
      <c r="E61" s="237">
        <f>SUM(E57:E60)</f>
        <v>-34786595</v>
      </c>
      <c r="F61" s="226">
        <f t="shared" si="0"/>
        <v>-19226999</v>
      </c>
      <c r="G61" s="226"/>
      <c r="I61" s="228"/>
      <c r="J61" s="235"/>
      <c r="K61" s="230"/>
      <c r="L61" s="232"/>
      <c r="M61" s="230"/>
      <c r="N61" s="232"/>
      <c r="O61" s="236"/>
      <c r="P61" s="233"/>
      <c r="Q61" s="191"/>
    </row>
    <row r="62" spans="2:17" ht="15" customHeight="1">
      <c r="B62" s="126" t="s">
        <v>78</v>
      </c>
      <c r="C62" s="224">
        <f>+Resultado!D13</f>
        <v>589947</v>
      </c>
      <c r="D62" s="224">
        <f>+Resultado!E13</f>
        <v>713880</v>
      </c>
      <c r="E62" s="225">
        <f>+[2]cálculos!C62</f>
        <v>1326676</v>
      </c>
      <c r="F62" s="226">
        <f t="shared" si="0"/>
        <v>-123933</v>
      </c>
      <c r="G62" s="226"/>
      <c r="I62" s="228"/>
      <c r="J62" s="228"/>
      <c r="K62" s="229"/>
      <c r="L62" s="234"/>
      <c r="M62" s="229"/>
      <c r="N62" s="234"/>
      <c r="O62" s="163"/>
      <c r="P62" s="153"/>
      <c r="Q62" s="191"/>
    </row>
    <row r="63" spans="2:17" ht="15" customHeight="1">
      <c r="B63" s="126" t="s">
        <v>73</v>
      </c>
      <c r="C63" s="224"/>
      <c r="D63" s="224"/>
      <c r="E63" s="225">
        <f>+[2]cálculos!C63</f>
        <v>0</v>
      </c>
      <c r="F63" s="226">
        <f t="shared" si="0"/>
        <v>0</v>
      </c>
      <c r="G63" s="226"/>
      <c r="I63" s="238"/>
      <c r="J63" s="104"/>
      <c r="K63" s="239"/>
      <c r="L63" s="163"/>
      <c r="M63" s="239"/>
      <c r="N63" s="163"/>
      <c r="O63" s="109"/>
      <c r="P63" s="153"/>
      <c r="Q63" s="108"/>
    </row>
    <row r="64" spans="2:17" ht="15" customHeight="1">
      <c r="B64" s="120" t="s">
        <v>74</v>
      </c>
      <c r="C64" s="237">
        <f>+C56+C61+C62+C63</f>
        <v>78402911</v>
      </c>
      <c r="D64" s="237">
        <f>+D56+D61+D62+D63</f>
        <v>80615716</v>
      </c>
      <c r="E64" s="237">
        <f>+E56+E61+E62+E63</f>
        <v>148232829</v>
      </c>
      <c r="F64" s="226">
        <f t="shared" si="0"/>
        <v>-2212805</v>
      </c>
      <c r="G64" s="226"/>
      <c r="M64" s="240"/>
      <c r="O64" s="109"/>
    </row>
    <row r="65" spans="2:15" ht="15" customHeight="1">
      <c r="B65" s="126" t="s">
        <v>75</v>
      </c>
      <c r="C65" s="224">
        <f>+Resultado!D20</f>
        <v>-12919880</v>
      </c>
      <c r="D65" s="224">
        <f>+Resultado!E20</f>
        <v>-15962149</v>
      </c>
      <c r="E65" s="225">
        <f>+[2]cálculos!C65</f>
        <v>-29333029</v>
      </c>
      <c r="F65" s="226">
        <f t="shared" si="0"/>
        <v>3042269</v>
      </c>
      <c r="G65" s="226"/>
      <c r="L65" s="241"/>
      <c r="N65" s="241"/>
    </row>
    <row r="66" spans="2:15" ht="15" customHeight="1">
      <c r="B66" s="126" t="s">
        <v>76</v>
      </c>
      <c r="C66" s="224">
        <f>+Resultado!D26</f>
        <v>33717401</v>
      </c>
      <c r="D66" s="224">
        <f>+Resultado!E26</f>
        <v>33299517</v>
      </c>
      <c r="E66" s="225">
        <f>+[2]cálculos!C66</f>
        <v>61251947</v>
      </c>
      <c r="F66" s="226">
        <f t="shared" si="0"/>
        <v>417884</v>
      </c>
      <c r="G66" s="226"/>
    </row>
    <row r="67" spans="2:15" ht="15" customHeight="1">
      <c r="B67" s="242" t="s">
        <v>79</v>
      </c>
      <c r="C67" s="243">
        <f>+C64+C65</f>
        <v>65483031</v>
      </c>
      <c r="D67" s="243">
        <f>+D64+D65</f>
        <v>64653567</v>
      </c>
      <c r="E67" s="243">
        <f>+E64+E65</f>
        <v>118899800</v>
      </c>
      <c r="F67" s="226">
        <f t="shared" si="0"/>
        <v>829464</v>
      </c>
      <c r="G67" s="226"/>
    </row>
    <row r="68" spans="2:15" ht="15" customHeight="1" thickBot="1">
      <c r="B68" s="244" t="s">
        <v>77</v>
      </c>
      <c r="C68" s="245">
        <f>+C64+C65-C66</f>
        <v>31765630</v>
      </c>
      <c r="D68" s="245">
        <f>+D64+D65-D66</f>
        <v>31354050</v>
      </c>
      <c r="E68" s="245">
        <f>+E64+E65-E66</f>
        <v>57647853</v>
      </c>
      <c r="F68" s="226">
        <f t="shared" si="0"/>
        <v>411580</v>
      </c>
      <c r="G68" s="226"/>
    </row>
    <row r="69" spans="2:15" ht="15" customHeight="1">
      <c r="D69" s="226"/>
    </row>
    <row r="70" spans="2:15" ht="15" customHeight="1">
      <c r="D70" s="226"/>
    </row>
    <row r="71" spans="2:15" ht="15" customHeight="1">
      <c r="D71" s="226"/>
    </row>
    <row r="74" spans="2:15" ht="15" customHeight="1">
      <c r="O74" s="8"/>
    </row>
    <row r="75" spans="2:15" ht="15" customHeight="1">
      <c r="C75" s="226"/>
      <c r="M75" s="8"/>
      <c r="N75" s="8"/>
      <c r="O75" s="8"/>
    </row>
    <row r="76" spans="2:15" ht="15" customHeight="1">
      <c r="M76" s="8"/>
      <c r="N76" s="8"/>
      <c r="O76" s="8"/>
    </row>
    <row r="77" spans="2:15" ht="15" customHeight="1">
      <c r="M77" s="8"/>
      <c r="N77" s="8"/>
      <c r="O77" s="8"/>
    </row>
    <row r="78" spans="2:15" ht="15" customHeight="1">
      <c r="M78" s="8"/>
      <c r="N78" s="8"/>
      <c r="O78" s="8"/>
    </row>
    <row r="79" spans="2:15" ht="15" customHeight="1">
      <c r="M79" s="8"/>
      <c r="N79" s="8"/>
      <c r="O79" s="8"/>
    </row>
    <row r="80" spans="2:15" ht="15" customHeight="1">
      <c r="M80" s="8"/>
      <c r="N80" s="8"/>
      <c r="O80" s="8"/>
    </row>
    <row r="81" spans="13:15" ht="15" customHeight="1">
      <c r="M81" s="8"/>
      <c r="N81" s="8"/>
      <c r="O81" s="8"/>
    </row>
    <row r="82" spans="13:15" ht="15" customHeight="1">
      <c r="M82" s="8"/>
      <c r="N82" s="8"/>
      <c r="O82" s="8"/>
    </row>
    <row r="83" spans="13:15" ht="15" customHeight="1">
      <c r="M83" s="8"/>
      <c r="N83" s="8"/>
      <c r="O83" s="8"/>
    </row>
    <row r="84" spans="13:15" ht="15" customHeight="1">
      <c r="M84" s="8"/>
      <c r="N84" s="8"/>
      <c r="O84" s="8"/>
    </row>
    <row r="85" spans="13:15" ht="15" customHeight="1">
      <c r="M85" s="8"/>
      <c r="N85" s="8"/>
      <c r="O85" s="8"/>
    </row>
    <row r="86" spans="13:15" ht="15" customHeight="1">
      <c r="M86" s="8"/>
      <c r="N86" s="8"/>
      <c r="O86" s="8"/>
    </row>
    <row r="87" spans="13:15" ht="15" customHeight="1">
      <c r="M87" s="8"/>
      <c r="N87" s="8"/>
      <c r="O87" s="8"/>
    </row>
    <row r="88" spans="13:15" ht="15" customHeight="1">
      <c r="M88" s="8"/>
      <c r="N88" s="8"/>
      <c r="O88" s="8"/>
    </row>
    <row r="89" spans="13:15" ht="15" customHeight="1">
      <c r="M89" s="8"/>
      <c r="N89" s="8"/>
      <c r="O89" s="8"/>
    </row>
    <row r="90" spans="13:15" ht="15" customHeight="1">
      <c r="M90" s="8"/>
      <c r="N90" s="8"/>
      <c r="O90" s="8"/>
    </row>
    <row r="91" spans="13:15" ht="15" customHeight="1">
      <c r="M91" s="8"/>
      <c r="N91" s="8"/>
      <c r="O91" s="8"/>
    </row>
    <row r="92" spans="13:15" ht="15" customHeight="1">
      <c r="M92" s="8"/>
      <c r="N92" s="8"/>
      <c r="O92" s="8"/>
    </row>
    <row r="93" spans="13:15" ht="15" customHeight="1">
      <c r="M93" s="8"/>
      <c r="N93" s="8"/>
      <c r="O93" s="8"/>
    </row>
    <row r="94" spans="13:15" ht="15" customHeight="1">
      <c r="M94" s="8"/>
      <c r="N94" s="8"/>
      <c r="O94" s="8"/>
    </row>
    <row r="95" spans="13:15" ht="15" customHeight="1">
      <c r="M95" s="8"/>
      <c r="N95" s="8"/>
      <c r="O95" s="8"/>
    </row>
    <row r="96" spans="13:15" ht="15" customHeight="1">
      <c r="M96" s="8"/>
      <c r="N96" s="8"/>
      <c r="O96" s="8"/>
    </row>
    <row r="97" spans="11:15" ht="15" customHeight="1">
      <c r="M97" s="8"/>
      <c r="N97" s="8"/>
      <c r="O97" s="8"/>
    </row>
    <row r="98" spans="11:15" ht="15" customHeight="1">
      <c r="M98" s="8"/>
      <c r="N98" s="8"/>
      <c r="O98" s="8"/>
    </row>
    <row r="99" spans="11:15" ht="15" customHeight="1">
      <c r="K99" s="246"/>
      <c r="L99" s="247"/>
      <c r="N99" s="247"/>
      <c r="O99" s="246"/>
    </row>
    <row r="100" spans="11:15" ht="15" customHeight="1">
      <c r="K100" s="246"/>
      <c r="L100" s="247"/>
      <c r="N100" s="247"/>
      <c r="O100" s="246"/>
    </row>
    <row r="101" spans="11:15" ht="15" customHeight="1">
      <c r="K101" s="246"/>
      <c r="L101" s="247"/>
      <c r="N101" s="247"/>
      <c r="O101" s="246"/>
    </row>
    <row r="102" spans="11:15" ht="15" customHeight="1">
      <c r="K102" s="246"/>
      <c r="L102" s="247"/>
      <c r="N102" s="247"/>
      <c r="O102" s="246"/>
    </row>
    <row r="103" spans="11:15" ht="15" customHeight="1">
      <c r="K103" s="246"/>
      <c r="L103" s="247"/>
      <c r="N103" s="247"/>
      <c r="O103" s="246"/>
    </row>
    <row r="104" spans="11:15" ht="15" customHeight="1">
      <c r="K104" s="246"/>
      <c r="L104" s="247"/>
      <c r="N104" s="247"/>
      <c r="O104" s="246"/>
    </row>
    <row r="105" spans="11:15" ht="15" customHeight="1">
      <c r="K105" s="246"/>
      <c r="L105" s="247"/>
      <c r="M105" s="247"/>
      <c r="N105" s="247"/>
      <c r="O105" s="246"/>
    </row>
    <row r="106" spans="11:15" ht="15" customHeight="1">
      <c r="K106" s="246"/>
      <c r="L106" s="247"/>
      <c r="M106" s="247"/>
      <c r="N106" s="247"/>
      <c r="O106" s="246"/>
    </row>
    <row r="107" spans="11:15" ht="15" customHeight="1">
      <c r="K107" s="246"/>
      <c r="L107" s="247"/>
      <c r="M107" s="247"/>
      <c r="N107" s="247"/>
    </row>
    <row r="108" spans="11:15" ht="15" customHeight="1">
      <c r="K108" s="246"/>
      <c r="L108" s="247"/>
      <c r="M108" s="247"/>
      <c r="N108" s="247"/>
    </row>
    <row r="109" spans="11:15" ht="15" customHeight="1">
      <c r="K109" s="246"/>
      <c r="L109" s="247"/>
      <c r="M109" s="247"/>
      <c r="N109" s="247"/>
    </row>
    <row r="110" spans="11:15" ht="15" customHeight="1">
      <c r="K110" s="246"/>
      <c r="L110" s="247"/>
      <c r="M110" s="247"/>
      <c r="N110" s="247"/>
    </row>
    <row r="111" spans="11:15" ht="15" customHeight="1">
      <c r="K111" s="246"/>
      <c r="L111" s="247"/>
      <c r="M111" s="247"/>
      <c r="N111" s="247"/>
    </row>
    <row r="112" spans="11:15" ht="15" customHeight="1">
      <c r="K112" s="246"/>
      <c r="L112" s="247"/>
      <c r="M112" s="247"/>
      <c r="N112" s="247"/>
    </row>
    <row r="113" spans="11:14" ht="15" customHeight="1">
      <c r="K113" s="246"/>
      <c r="L113" s="247"/>
      <c r="M113" s="247"/>
      <c r="N113" s="247"/>
    </row>
    <row r="114" spans="11:14" ht="15" customHeight="1">
      <c r="K114" s="246"/>
      <c r="L114" s="247"/>
      <c r="M114" s="247"/>
      <c r="N114" s="247"/>
    </row>
    <row r="115" spans="11:14" ht="15" customHeight="1">
      <c r="K115" s="246"/>
      <c r="L115" s="247"/>
      <c r="M115" s="247"/>
      <c r="N115" s="247"/>
    </row>
    <row r="116" spans="11:14" ht="15" customHeight="1">
      <c r="K116" s="246"/>
      <c r="L116" s="247"/>
      <c r="M116" s="247"/>
      <c r="N116" s="247"/>
    </row>
    <row r="117" spans="11:14" ht="15" customHeight="1">
      <c r="K117" s="246"/>
      <c r="L117" s="247"/>
      <c r="M117" s="247"/>
      <c r="N117" s="247"/>
    </row>
    <row r="118" spans="11:14" ht="15" customHeight="1">
      <c r="K118" s="246"/>
      <c r="L118" s="247"/>
      <c r="M118" s="247"/>
      <c r="N118" s="247"/>
    </row>
    <row r="119" spans="11:14" ht="15" customHeight="1">
      <c r="K119" s="246"/>
      <c r="L119" s="247"/>
      <c r="M119" s="247"/>
      <c r="N119" s="247"/>
    </row>
    <row r="120" spans="11:14" ht="15" customHeight="1">
      <c r="K120" s="246"/>
      <c r="L120" s="247"/>
      <c r="M120" s="247"/>
      <c r="N120" s="247"/>
    </row>
    <row r="121" spans="11:14" ht="15" customHeight="1">
      <c r="K121" s="246"/>
      <c r="L121" s="247"/>
      <c r="N121" s="247"/>
    </row>
    <row r="122" spans="11:14" ht="15" customHeight="1">
      <c r="K122" s="246"/>
      <c r="L122" s="247"/>
      <c r="M122" s="247"/>
      <c r="N122" s="247"/>
    </row>
    <row r="123" spans="11:14" ht="15" customHeight="1">
      <c r="K123" s="246"/>
      <c r="L123" s="247"/>
      <c r="M123" s="247"/>
      <c r="N123" s="247"/>
    </row>
    <row r="124" spans="11:14" ht="15" customHeight="1">
      <c r="K124" s="246"/>
      <c r="L124" s="247"/>
      <c r="M124" s="247"/>
      <c r="N124" s="247"/>
    </row>
    <row r="125" spans="11:14" ht="15" customHeight="1">
      <c r="K125" s="246"/>
      <c r="L125" s="247"/>
      <c r="M125" s="247"/>
      <c r="N125" s="247"/>
    </row>
    <row r="126" spans="11:14" ht="15" customHeight="1">
      <c r="K126" s="246"/>
      <c r="L126" s="247"/>
      <c r="M126" s="247"/>
      <c r="N126" s="247"/>
    </row>
    <row r="127" spans="11:14" ht="15" customHeight="1">
      <c r="K127" s="246"/>
      <c r="L127" s="247"/>
      <c r="M127" s="247"/>
      <c r="N127" s="247"/>
    </row>
    <row r="128" spans="11:14" ht="15" customHeight="1">
      <c r="K128" s="246"/>
      <c r="L128" s="247"/>
      <c r="M128" s="247"/>
      <c r="N128" s="247"/>
    </row>
    <row r="129" spans="11:14" ht="15" customHeight="1">
      <c r="K129" s="246"/>
      <c r="L129" s="247"/>
      <c r="N129" s="247"/>
    </row>
    <row r="130" spans="11:14" ht="15" customHeight="1">
      <c r="K130" s="246"/>
      <c r="L130" s="247"/>
      <c r="N130" s="247"/>
    </row>
    <row r="131" spans="11:14" ht="15" customHeight="1">
      <c r="K131" s="246"/>
      <c r="L131" s="247"/>
      <c r="N131" s="247"/>
    </row>
    <row r="132" spans="11:14" ht="15" customHeight="1">
      <c r="K132" s="246"/>
      <c r="L132" s="247"/>
      <c r="N132" s="247"/>
    </row>
    <row r="133" spans="11:14" ht="15" customHeight="1">
      <c r="K133" s="246"/>
      <c r="L133" s="247"/>
      <c r="N133" s="247"/>
    </row>
    <row r="134" spans="11:14" ht="15" customHeight="1">
      <c r="K134" s="246"/>
      <c r="L134" s="247"/>
      <c r="N134" s="247"/>
    </row>
    <row r="135" spans="11:14" ht="15" customHeight="1">
      <c r="K135" s="246"/>
      <c r="L135" s="247"/>
      <c r="N135" s="247"/>
    </row>
    <row r="136" spans="11:14" ht="15" customHeight="1">
      <c r="K136" s="246"/>
      <c r="L136" s="247"/>
      <c r="N136" s="247"/>
    </row>
    <row r="137" spans="11:14" ht="15" customHeight="1">
      <c r="K137" s="246"/>
      <c r="L137" s="247"/>
      <c r="N137" s="247"/>
    </row>
    <row r="138" spans="11:14" ht="15" customHeight="1">
      <c r="K138" s="246"/>
      <c r="L138" s="247"/>
      <c r="N138" s="247"/>
    </row>
    <row r="139" spans="11:14" ht="15" customHeight="1">
      <c r="K139" s="246"/>
      <c r="L139" s="247"/>
      <c r="N139" s="247"/>
    </row>
    <row r="140" spans="11:14" ht="15" customHeight="1">
      <c r="K140" s="246"/>
      <c r="L140" s="247"/>
      <c r="N140" s="247"/>
    </row>
    <row r="141" spans="11:14" ht="15" customHeight="1">
      <c r="K141" s="246"/>
      <c r="L141" s="247"/>
      <c r="N141" s="247"/>
    </row>
    <row r="142" spans="11:14" ht="15" customHeight="1">
      <c r="K142" s="246"/>
      <c r="L142" s="247"/>
      <c r="N142" s="247"/>
    </row>
    <row r="143" spans="11:14" ht="15" customHeight="1">
      <c r="K143" s="246"/>
      <c r="L143" s="247"/>
      <c r="N143" s="247"/>
    </row>
    <row r="144" spans="11:14" ht="15" customHeight="1">
      <c r="K144" s="246"/>
      <c r="L144" s="247"/>
      <c r="N144" s="247"/>
    </row>
    <row r="145" spans="11:14" ht="15" customHeight="1">
      <c r="K145" s="246"/>
      <c r="L145" s="247"/>
      <c r="N145" s="247"/>
    </row>
    <row r="146" spans="11:14" ht="15" customHeight="1">
      <c r="K146" s="246"/>
      <c r="L146" s="247"/>
      <c r="N146" s="247"/>
    </row>
    <row r="147" spans="11:14" ht="15" customHeight="1">
      <c r="K147" s="135"/>
      <c r="L147" s="247"/>
      <c r="N147" s="247"/>
    </row>
    <row r="148" spans="11:14" ht="15" customHeight="1">
      <c r="K148" s="246"/>
      <c r="L148" s="247"/>
      <c r="N148" s="247"/>
    </row>
    <row r="149" spans="11:14" ht="15" customHeight="1">
      <c r="K149" s="246"/>
      <c r="L149" s="247"/>
      <c r="N149" s="247"/>
    </row>
    <row r="150" spans="11:14" ht="15" customHeight="1">
      <c r="K150" s="246"/>
      <c r="L150" s="247"/>
      <c r="N150" s="247"/>
    </row>
    <row r="151" spans="11:14" ht="15" customHeight="1">
      <c r="K151" s="246"/>
      <c r="L151" s="247"/>
      <c r="N151" s="247"/>
    </row>
    <row r="152" spans="11:14" ht="15" customHeight="1">
      <c r="K152" s="246"/>
      <c r="L152" s="247"/>
      <c r="M152" s="199"/>
      <c r="N152" s="247"/>
    </row>
    <row r="153" spans="11:14" ht="15" customHeight="1">
      <c r="K153" s="246"/>
      <c r="L153" s="247"/>
      <c r="M153" s="199"/>
      <c r="N153" s="247"/>
    </row>
    <row r="154" spans="11:14" ht="15" customHeight="1">
      <c r="K154" s="246"/>
      <c r="L154" s="247"/>
      <c r="M154" s="199"/>
      <c r="N154" s="247"/>
    </row>
    <row r="155" spans="11:14" ht="15" customHeight="1">
      <c r="K155" s="246"/>
      <c r="L155" s="247"/>
      <c r="M155" s="199"/>
      <c r="N155" s="247"/>
    </row>
    <row r="156" spans="11:14" ht="15" customHeight="1">
      <c r="K156" s="246"/>
      <c r="L156" s="247"/>
      <c r="M156" s="199"/>
      <c r="N156" s="247"/>
    </row>
    <row r="157" spans="11:14" ht="15" customHeight="1">
      <c r="K157" s="246"/>
      <c r="L157" s="247"/>
      <c r="M157" s="199"/>
      <c r="N157" s="247"/>
    </row>
    <row r="158" spans="11:14" ht="15" customHeight="1">
      <c r="K158" s="246"/>
      <c r="L158" s="247"/>
      <c r="M158" s="199"/>
      <c r="N158" s="247"/>
    </row>
    <row r="159" spans="11:14" ht="15" customHeight="1">
      <c r="K159" s="246"/>
      <c r="L159" s="247"/>
      <c r="M159" s="199"/>
      <c r="N159" s="247"/>
    </row>
    <row r="160" spans="11:14" ht="15" customHeight="1">
      <c r="M160" s="199"/>
    </row>
    <row r="161" spans="13:13" ht="15" customHeight="1">
      <c r="M161" s="199"/>
    </row>
    <row r="162" spans="13:13" ht="15" customHeight="1">
      <c r="M162" s="199"/>
    </row>
    <row r="163" spans="13:13" ht="15" customHeight="1">
      <c r="M163" s="199"/>
    </row>
    <row r="164" spans="13:13" ht="15" customHeight="1">
      <c r="M164" s="199"/>
    </row>
    <row r="183" spans="11:14" ht="15" customHeight="1">
      <c r="M183" s="248"/>
    </row>
    <row r="185" spans="11:14" ht="15" customHeight="1">
      <c r="K185" s="246"/>
      <c r="L185" s="247"/>
      <c r="M185" s="247"/>
      <c r="N185" s="246"/>
    </row>
    <row r="186" spans="11:14" ht="15" customHeight="1">
      <c r="K186" s="246"/>
      <c r="L186" s="247"/>
      <c r="M186" s="247"/>
      <c r="N186" s="246"/>
    </row>
    <row r="187" spans="11:14" ht="15" customHeight="1">
      <c r="K187" s="246"/>
      <c r="L187" s="247"/>
      <c r="M187" s="247"/>
      <c r="N187" s="246"/>
    </row>
    <row r="188" spans="11:14" ht="15" customHeight="1">
      <c r="K188" s="246"/>
      <c r="L188" s="247"/>
      <c r="M188" s="247"/>
      <c r="N188" s="246"/>
    </row>
    <row r="189" spans="11:14" ht="15" customHeight="1">
      <c r="K189" s="246"/>
      <c r="L189" s="247"/>
      <c r="M189" s="247"/>
      <c r="N189" s="246"/>
    </row>
    <row r="190" spans="11:14" ht="15" customHeight="1">
      <c r="K190" s="246"/>
      <c r="L190" s="247"/>
      <c r="M190" s="247"/>
      <c r="N190" s="246"/>
    </row>
    <row r="191" spans="11:14" ht="15" customHeight="1">
      <c r="K191" s="246"/>
      <c r="L191" s="247"/>
      <c r="M191" s="247"/>
      <c r="N191" s="246"/>
    </row>
    <row r="192" spans="11:14" ht="15" customHeight="1">
      <c r="K192" s="246"/>
      <c r="L192" s="247"/>
      <c r="M192" s="247"/>
      <c r="N192" s="246"/>
    </row>
    <row r="193" spans="11:14" ht="15" customHeight="1">
      <c r="K193" s="246"/>
      <c r="L193" s="247"/>
      <c r="M193" s="247"/>
      <c r="N193" s="246"/>
    </row>
    <row r="194" spans="11:14" ht="15" customHeight="1">
      <c r="K194" s="246"/>
      <c r="L194" s="247"/>
      <c r="M194" s="247"/>
      <c r="N194" s="246"/>
    </row>
    <row r="195" spans="11:14" ht="15" customHeight="1">
      <c r="K195" s="246"/>
      <c r="L195" s="247"/>
      <c r="N195" s="246"/>
    </row>
    <row r="196" spans="11:14" ht="15" customHeight="1">
      <c r="K196" s="246"/>
      <c r="L196" s="247"/>
      <c r="N196" s="246"/>
    </row>
    <row r="197" spans="11:14" ht="15" customHeight="1">
      <c r="K197" s="246"/>
      <c r="L197" s="247"/>
      <c r="N197" s="246"/>
    </row>
    <row r="198" spans="11:14" ht="15" customHeight="1">
      <c r="K198" s="246"/>
      <c r="L198" s="247"/>
      <c r="N198" s="246"/>
    </row>
    <row r="199" spans="11:14" ht="15" customHeight="1">
      <c r="K199" s="246"/>
      <c r="L199" s="247"/>
      <c r="N199" s="246"/>
    </row>
    <row r="200" spans="11:14" ht="15" customHeight="1">
      <c r="K200" s="246"/>
      <c r="L200" s="247"/>
      <c r="N200" s="246"/>
    </row>
    <row r="201" spans="11:14" ht="15" customHeight="1">
      <c r="K201" s="246"/>
      <c r="L201" s="247"/>
      <c r="N201" s="246"/>
    </row>
    <row r="202" spans="11:14" ht="15" customHeight="1">
      <c r="K202" s="246"/>
      <c r="L202" s="247"/>
      <c r="N202" s="246"/>
    </row>
    <row r="203" spans="11:14" ht="15" customHeight="1">
      <c r="K203" s="246"/>
      <c r="L203" s="247"/>
      <c r="N203" s="246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2:F76"/>
  <sheetViews>
    <sheetView showGridLines="0" workbookViewId="0">
      <selection activeCell="B81" sqref="B81"/>
    </sheetView>
  </sheetViews>
  <sheetFormatPr baseColWidth="10" defaultRowHeight="12.75"/>
  <cols>
    <col min="1" max="1" width="10.42578125" style="14" bestFit="1" customWidth="1"/>
    <col min="2" max="2" width="68.7109375" style="15" customWidth="1"/>
    <col min="3" max="3" width="7.7109375" style="15" customWidth="1"/>
    <col min="4" max="5" width="14.42578125" style="15" customWidth="1"/>
    <col min="6" max="16384" width="11.42578125" style="14"/>
  </cols>
  <sheetData>
    <row r="2" spans="1:6" ht="21.75" customHeight="1"/>
    <row r="3" spans="1:6" ht="13.5" thickBot="1"/>
    <row r="4" spans="1:6">
      <c r="A4" s="16"/>
      <c r="B4" s="365" t="s">
        <v>102</v>
      </c>
      <c r="C4" s="367" t="s">
        <v>103</v>
      </c>
      <c r="D4" s="42">
        <v>41729</v>
      </c>
      <c r="E4" s="42">
        <v>41639</v>
      </c>
    </row>
    <row r="5" spans="1:6" ht="13.5" thickBot="1">
      <c r="B5" s="366"/>
      <c r="C5" s="368"/>
      <c r="D5" s="43" t="s">
        <v>5</v>
      </c>
      <c r="E5" s="43" t="s">
        <v>5</v>
      </c>
      <c r="F5" s="14" t="s">
        <v>66</v>
      </c>
    </row>
    <row r="6" spans="1:6">
      <c r="B6" s="45"/>
      <c r="C6" s="47"/>
      <c r="D6" s="66"/>
      <c r="E6" s="66"/>
    </row>
    <row r="7" spans="1:6" ht="13.5" customHeight="1" thickBot="1">
      <c r="B7" s="45" t="s">
        <v>104</v>
      </c>
      <c r="C7" s="47"/>
      <c r="D7" s="66"/>
      <c r="E7" s="66"/>
    </row>
    <row r="8" spans="1:6" ht="13.5" thickBot="1">
      <c r="B8" s="49" t="s">
        <v>105</v>
      </c>
      <c r="C8" s="67">
        <v>7</v>
      </c>
      <c r="D8" s="51">
        <f>+[3]Activo!D6</f>
        <v>7547630</v>
      </c>
      <c r="E8" s="51">
        <f>+[3]Activo!E6</f>
        <v>40299181</v>
      </c>
      <c r="F8" s="15">
        <f>+(D8-E8)/1000</f>
        <v>-32751.550999999999</v>
      </c>
    </row>
    <row r="9" spans="1:6" ht="13.5" customHeight="1" thickBot="1">
      <c r="B9" s="49" t="s">
        <v>106</v>
      </c>
      <c r="C9" s="50">
        <v>9</v>
      </c>
      <c r="D9" s="51"/>
      <c r="E9" s="51"/>
      <c r="F9" s="15">
        <f t="shared" ref="F9:F72" si="0">+(D9-E9)/1000</f>
        <v>0</v>
      </c>
    </row>
    <row r="10" spans="1:6" ht="13.5" thickBot="1">
      <c r="B10" s="49" t="s">
        <v>107</v>
      </c>
      <c r="C10" s="50"/>
      <c r="D10" s="51">
        <f>+[3]Activo!D7</f>
        <v>1953333</v>
      </c>
      <c r="E10" s="51">
        <f>+[3]Activo!E7</f>
        <v>232245</v>
      </c>
      <c r="F10" s="15">
        <f t="shared" si="0"/>
        <v>1721.088</v>
      </c>
    </row>
    <row r="11" spans="1:6" ht="13.5" thickBot="1">
      <c r="B11" s="49" t="s">
        <v>108</v>
      </c>
      <c r="C11" s="50">
        <v>8</v>
      </c>
      <c r="D11" s="51">
        <f>+[3]Activo!D8</f>
        <v>75137403</v>
      </c>
      <c r="E11" s="51">
        <f>+[3]Activo!E8</f>
        <v>87959258</v>
      </c>
      <c r="F11" s="15">
        <f t="shared" si="0"/>
        <v>-12821.855</v>
      </c>
    </row>
    <row r="12" spans="1:6" ht="15" customHeight="1" thickBot="1">
      <c r="B12" s="49" t="s">
        <v>109</v>
      </c>
      <c r="C12" s="50">
        <v>9</v>
      </c>
      <c r="D12" s="51">
        <f>+[3]Activo!D9</f>
        <v>72432</v>
      </c>
      <c r="E12" s="51">
        <f>+[3]Activo!E9</f>
        <v>38941</v>
      </c>
      <c r="F12" s="15">
        <f t="shared" si="0"/>
        <v>33.491</v>
      </c>
    </row>
    <row r="13" spans="1:6" ht="15" customHeight="1" thickBot="1">
      <c r="B13" s="49" t="s">
        <v>110</v>
      </c>
      <c r="C13" s="50">
        <v>10</v>
      </c>
      <c r="D13" s="51">
        <f>+[3]Activo!D10</f>
        <v>3360356</v>
      </c>
      <c r="E13" s="51">
        <f>+[3]Activo!E10</f>
        <v>3608089</v>
      </c>
      <c r="F13" s="15">
        <f t="shared" si="0"/>
        <v>-247.733</v>
      </c>
    </row>
    <row r="14" spans="1:6" ht="15" customHeight="1" thickBot="1">
      <c r="B14" s="49" t="s">
        <v>111</v>
      </c>
      <c r="C14" s="50"/>
      <c r="D14" s="51">
        <f>+[3]Activo!D11</f>
        <v>701368</v>
      </c>
      <c r="E14" s="51">
        <f>+[3]Activo!E11</f>
        <v>2485107</v>
      </c>
      <c r="F14" s="15">
        <f t="shared" si="0"/>
        <v>-1783.739</v>
      </c>
    </row>
    <row r="15" spans="1:6" ht="36.75" customHeight="1" thickBot="1">
      <c r="B15" s="52" t="s">
        <v>112</v>
      </c>
      <c r="C15" s="53"/>
      <c r="D15" s="54">
        <f>SUM(D8:D14)</f>
        <v>88772522</v>
      </c>
      <c r="E15" s="54">
        <f>SUM(E8:E14)</f>
        <v>134622821</v>
      </c>
      <c r="F15" s="15">
        <f t="shared" si="0"/>
        <v>-45850.298999999999</v>
      </c>
    </row>
    <row r="16" spans="1:6" ht="20.25" hidden="1" customHeight="1" thickBot="1">
      <c r="B16" s="55" t="s">
        <v>113</v>
      </c>
      <c r="C16" s="50"/>
      <c r="D16" s="51">
        <v>0</v>
      </c>
      <c r="E16" s="51">
        <v>0</v>
      </c>
      <c r="F16" s="15">
        <f t="shared" si="0"/>
        <v>0</v>
      </c>
    </row>
    <row r="17" spans="2:6" ht="18" hidden="1" customHeight="1" thickBot="1">
      <c r="B17" s="55" t="s">
        <v>114</v>
      </c>
      <c r="C17" s="50"/>
      <c r="D17" s="51">
        <v>0</v>
      </c>
      <c r="E17" s="51">
        <v>0</v>
      </c>
      <c r="F17" s="15">
        <f t="shared" si="0"/>
        <v>0</v>
      </c>
    </row>
    <row r="18" spans="2:6" ht="39" hidden="1" customHeight="1" thickBot="1">
      <c r="B18" s="52" t="s">
        <v>115</v>
      </c>
      <c r="C18" s="53"/>
      <c r="D18" s="54">
        <v>0</v>
      </c>
      <c r="E18" s="54">
        <v>0</v>
      </c>
      <c r="F18" s="15">
        <f t="shared" si="0"/>
        <v>0</v>
      </c>
    </row>
    <row r="19" spans="2:6" ht="15" customHeight="1" thickBot="1">
      <c r="B19" s="49"/>
      <c r="C19" s="50"/>
      <c r="D19" s="51"/>
      <c r="E19" s="51"/>
      <c r="F19" s="15">
        <f t="shared" si="0"/>
        <v>0</v>
      </c>
    </row>
    <row r="20" spans="2:6" ht="15" customHeight="1" thickBot="1">
      <c r="B20" s="68" t="s">
        <v>116</v>
      </c>
      <c r="C20" s="53"/>
      <c r="D20" s="69">
        <f>+D15</f>
        <v>88772522</v>
      </c>
      <c r="E20" s="69">
        <f>+E15</f>
        <v>134622821</v>
      </c>
      <c r="F20" s="15">
        <f t="shared" si="0"/>
        <v>-45850.298999999999</v>
      </c>
    </row>
    <row r="21" spans="2:6" ht="15" customHeight="1">
      <c r="B21" s="47"/>
      <c r="C21" s="46"/>
      <c r="D21" s="59"/>
      <c r="E21" s="59"/>
      <c r="F21" s="15">
        <f t="shared" si="0"/>
        <v>0</v>
      </c>
    </row>
    <row r="22" spans="2:6" ht="15" customHeight="1" thickBot="1">
      <c r="B22" s="45" t="s">
        <v>117</v>
      </c>
      <c r="C22" s="46"/>
      <c r="D22" s="59"/>
      <c r="E22" s="59"/>
      <c r="F22" s="15">
        <f t="shared" si="0"/>
        <v>0</v>
      </c>
    </row>
    <row r="23" spans="2:6" ht="15" hidden="1" customHeight="1" thickBot="1">
      <c r="B23" s="49" t="s">
        <v>118</v>
      </c>
      <c r="C23" s="50">
        <v>7</v>
      </c>
      <c r="D23" s="51"/>
      <c r="E23" s="51"/>
      <c r="F23" s="15">
        <f t="shared" si="0"/>
        <v>0</v>
      </c>
    </row>
    <row r="24" spans="2:6" ht="15" customHeight="1" thickBot="1">
      <c r="B24" s="49" t="s">
        <v>106</v>
      </c>
      <c r="C24" s="50">
        <v>8</v>
      </c>
      <c r="D24" s="51">
        <f>+[3]Activo!D20</f>
        <v>7413197</v>
      </c>
      <c r="E24" s="51">
        <f>+[3]Activo!E20</f>
        <v>7413197</v>
      </c>
      <c r="F24" s="15">
        <f t="shared" si="0"/>
        <v>0</v>
      </c>
    </row>
    <row r="25" spans="2:6" ht="15" customHeight="1" thickBot="1">
      <c r="B25" s="49" t="s">
        <v>119</v>
      </c>
      <c r="C25" s="50"/>
      <c r="D25" s="51">
        <f>+[3]Activo!D21</f>
        <v>661650</v>
      </c>
      <c r="E25" s="51">
        <f>+[3]Activo!E21</f>
        <v>420067</v>
      </c>
      <c r="F25" s="15">
        <f t="shared" si="0"/>
        <v>241.583</v>
      </c>
    </row>
    <row r="26" spans="2:6" ht="15" customHeight="1" thickBot="1">
      <c r="B26" s="49" t="s">
        <v>120</v>
      </c>
      <c r="C26" s="50">
        <v>8</v>
      </c>
      <c r="D26" s="51">
        <f>+[3]Activo!D22</f>
        <v>1615861</v>
      </c>
      <c r="E26" s="51">
        <f>+[3]Activo!E22</f>
        <v>1879762</v>
      </c>
      <c r="F26" s="15">
        <f t="shared" si="0"/>
        <v>-263.90100000000001</v>
      </c>
    </row>
    <row r="27" spans="2:6" ht="15" customHeight="1" thickBot="1">
      <c r="B27" s="49" t="s">
        <v>121</v>
      </c>
      <c r="C27" s="50">
        <v>11</v>
      </c>
      <c r="D27" s="51">
        <f>+[3]Activo!D23</f>
        <v>232805410</v>
      </c>
      <c r="E27" s="51">
        <f>+[3]Activo!E23</f>
        <v>227347269</v>
      </c>
      <c r="F27" s="15">
        <f t="shared" si="0"/>
        <v>5458.1409999999996</v>
      </c>
    </row>
    <row r="28" spans="2:6" ht="15" customHeight="1" thickBot="1">
      <c r="B28" s="49" t="s">
        <v>122</v>
      </c>
      <c r="C28" s="50">
        <v>12</v>
      </c>
      <c r="D28" s="51">
        <f>+[3]Activo!D24</f>
        <v>307581431</v>
      </c>
      <c r="E28" s="51">
        <f>+[3]Activo!E24</f>
        <v>307581431</v>
      </c>
      <c r="F28" s="15">
        <f t="shared" si="0"/>
        <v>0</v>
      </c>
    </row>
    <row r="29" spans="2:6" ht="15" customHeight="1" thickBot="1">
      <c r="B29" s="49" t="s">
        <v>123</v>
      </c>
      <c r="C29" s="50">
        <v>13</v>
      </c>
      <c r="D29" s="51">
        <f>+[3]Activo!D25</f>
        <v>1167427974</v>
      </c>
      <c r="E29" s="51">
        <f>+[3]Activo!E25</f>
        <v>1171228114</v>
      </c>
      <c r="F29" s="15">
        <f t="shared" si="0"/>
        <v>-3800.14</v>
      </c>
    </row>
    <row r="30" spans="2:6" ht="15" customHeight="1" thickBot="1">
      <c r="B30" s="49" t="s">
        <v>124</v>
      </c>
      <c r="C30" s="50">
        <v>23</v>
      </c>
      <c r="D30" s="51">
        <f>+[3]Activo!D26</f>
        <v>4985994</v>
      </c>
      <c r="E30" s="51">
        <f>+[3]Activo!E26</f>
        <v>263122</v>
      </c>
      <c r="F30" s="15">
        <f t="shared" si="0"/>
        <v>4722.8720000000003</v>
      </c>
    </row>
    <row r="31" spans="2:6" ht="15" customHeight="1" thickBot="1">
      <c r="B31" s="56" t="s">
        <v>125</v>
      </c>
      <c r="C31" s="53"/>
      <c r="D31" s="54">
        <f>SUM(D24:D30)</f>
        <v>1722491517</v>
      </c>
      <c r="E31" s="54">
        <f>SUM(E24:E30)</f>
        <v>1716132962</v>
      </c>
      <c r="F31" s="15">
        <f t="shared" si="0"/>
        <v>6358.5550000000003</v>
      </c>
    </row>
    <row r="32" spans="2:6" ht="15" customHeight="1" thickBot="1">
      <c r="B32" s="61"/>
      <c r="C32" s="70"/>
      <c r="D32" s="48"/>
      <c r="E32" s="48"/>
      <c r="F32" s="15">
        <f t="shared" si="0"/>
        <v>0</v>
      </c>
    </row>
    <row r="33" spans="1:6" ht="15" customHeight="1" thickBot="1">
      <c r="B33" s="56" t="s">
        <v>126</v>
      </c>
      <c r="C33" s="57"/>
      <c r="D33" s="54">
        <f>+D31+D20</f>
        <v>1811264039</v>
      </c>
      <c r="E33" s="54">
        <f>+E31+E20</f>
        <v>1850755783</v>
      </c>
      <c r="F33" s="15">
        <f t="shared" si="0"/>
        <v>-39491.743999999999</v>
      </c>
    </row>
    <row r="34" spans="1:6">
      <c r="B34" s="71"/>
      <c r="C34" s="72"/>
      <c r="D34" s="73"/>
      <c r="E34" s="73"/>
      <c r="F34" s="15">
        <f t="shared" si="0"/>
        <v>0</v>
      </c>
    </row>
    <row r="35" spans="1:6" ht="13.5" thickBot="1">
      <c r="B35" s="71"/>
      <c r="C35" s="72"/>
      <c r="D35" s="73"/>
      <c r="E35" s="73"/>
      <c r="F35" s="15">
        <f t="shared" si="0"/>
        <v>0</v>
      </c>
    </row>
    <row r="36" spans="1:6">
      <c r="A36" s="16"/>
      <c r="B36" s="365" t="s">
        <v>127</v>
      </c>
      <c r="C36" s="367" t="s">
        <v>103</v>
      </c>
      <c r="D36" s="42">
        <v>41729</v>
      </c>
      <c r="E36" s="42">
        <v>41639</v>
      </c>
      <c r="F36" s="15">
        <f t="shared" si="0"/>
        <v>0.09</v>
      </c>
    </row>
    <row r="37" spans="1:6" ht="13.5" thickBot="1">
      <c r="B37" s="366"/>
      <c r="C37" s="368"/>
      <c r="D37" s="43" t="s">
        <v>286</v>
      </c>
      <c r="E37" s="43" t="s">
        <v>5</v>
      </c>
      <c r="F37" s="15"/>
    </row>
    <row r="38" spans="1:6">
      <c r="B38" s="44"/>
      <c r="C38" s="45"/>
      <c r="D38" s="46"/>
      <c r="E38" s="46"/>
      <c r="F38" s="15">
        <f t="shared" si="0"/>
        <v>0</v>
      </c>
    </row>
    <row r="39" spans="1:6" ht="13.5" customHeight="1" thickBot="1">
      <c r="B39" s="45" t="s">
        <v>128</v>
      </c>
      <c r="C39" s="47"/>
      <c r="D39" s="48"/>
      <c r="E39" s="48"/>
      <c r="F39" s="15">
        <f t="shared" si="0"/>
        <v>0</v>
      </c>
    </row>
    <row r="40" spans="1:6" ht="13.5" thickBot="1">
      <c r="A40" s="35"/>
      <c r="B40" s="49" t="s">
        <v>129</v>
      </c>
      <c r="C40" s="50">
        <v>8</v>
      </c>
      <c r="D40" s="51">
        <f>+[3]Pasivo!D6</f>
        <v>47469399</v>
      </c>
      <c r="E40" s="51">
        <f>+[3]Pasivo!E6</f>
        <v>93620208</v>
      </c>
      <c r="F40" s="15">
        <f t="shared" si="0"/>
        <v>-46150.809000000001</v>
      </c>
    </row>
    <row r="41" spans="1:6" ht="13.5" thickBot="1">
      <c r="B41" s="49" t="s">
        <v>130</v>
      </c>
      <c r="C41" s="50">
        <v>8</v>
      </c>
      <c r="D41" s="51">
        <f>+[3]Pasivo!D7</f>
        <v>60468814</v>
      </c>
      <c r="E41" s="51">
        <f>+[3]Pasivo!E7</f>
        <v>98814724</v>
      </c>
      <c r="F41" s="15">
        <f t="shared" si="0"/>
        <v>-38345.910000000003</v>
      </c>
    </row>
    <row r="42" spans="1:6" ht="15" customHeight="1" thickBot="1">
      <c r="B42" s="49" t="s">
        <v>131</v>
      </c>
      <c r="C42" s="50">
        <v>9</v>
      </c>
      <c r="D42" s="51">
        <f>+[3]Pasivo!D8</f>
        <v>11424000</v>
      </c>
      <c r="E42" s="51">
        <f>+[3]Pasivo!E8</f>
        <v>21941594</v>
      </c>
      <c r="F42" s="15">
        <f t="shared" si="0"/>
        <v>-10517.593999999999</v>
      </c>
    </row>
    <row r="43" spans="1:6" ht="15" customHeight="1" thickBot="1">
      <c r="B43" s="49" t="s">
        <v>132</v>
      </c>
      <c r="C43" s="50">
        <v>15</v>
      </c>
      <c r="D43" s="51">
        <f>+[3]Pasivo!D9</f>
        <v>618684</v>
      </c>
      <c r="E43" s="51">
        <f>+[3]Pasivo!E9</f>
        <v>918556</v>
      </c>
      <c r="F43" s="15">
        <f t="shared" si="0"/>
        <v>-299.87200000000001</v>
      </c>
    </row>
    <row r="44" spans="1:6" ht="15" customHeight="1" thickBot="1">
      <c r="B44" s="49" t="s">
        <v>133</v>
      </c>
      <c r="C44" s="50"/>
      <c r="D44" s="51">
        <f>+[3]Pasivo!D10</f>
        <v>1264910</v>
      </c>
      <c r="E44" s="51">
        <f>+[3]Pasivo!E10</f>
        <v>88462</v>
      </c>
      <c r="F44" s="15">
        <f t="shared" si="0"/>
        <v>1176.4480000000001</v>
      </c>
    </row>
    <row r="45" spans="1:6" ht="15" customHeight="1" thickBot="1">
      <c r="B45" s="49" t="s">
        <v>134</v>
      </c>
      <c r="C45" s="50">
        <v>19</v>
      </c>
      <c r="D45" s="51">
        <f>+[3]Pasivo!D11</f>
        <v>2294549</v>
      </c>
      <c r="E45" s="51">
        <f>+[3]Pasivo!E11</f>
        <v>4267442</v>
      </c>
      <c r="F45" s="15">
        <f t="shared" si="0"/>
        <v>-1972.893</v>
      </c>
    </row>
    <row r="46" spans="1:6" ht="15" customHeight="1" thickBot="1">
      <c r="B46" s="49" t="s">
        <v>135</v>
      </c>
      <c r="C46" s="50"/>
      <c r="D46" s="51">
        <f>+[3]Pasivo!D12</f>
        <v>1985510</v>
      </c>
      <c r="E46" s="51">
        <f>+[3]Pasivo!E12</f>
        <v>1381524</v>
      </c>
      <c r="F46" s="15">
        <f t="shared" si="0"/>
        <v>603.98599999999999</v>
      </c>
    </row>
    <row r="47" spans="1:6" ht="28.5" customHeight="1" thickBot="1">
      <c r="B47" s="52" t="s">
        <v>136</v>
      </c>
      <c r="C47" s="53"/>
      <c r="D47" s="54">
        <f>SUM(D40:D46)</f>
        <v>125525866</v>
      </c>
      <c r="E47" s="54">
        <f>SUM(E40:E46)</f>
        <v>221032510</v>
      </c>
      <c r="F47" s="15">
        <f t="shared" si="0"/>
        <v>-95506.644</v>
      </c>
    </row>
    <row r="48" spans="1:6" ht="15" customHeight="1" thickBot="1">
      <c r="B48" s="49"/>
      <c r="C48" s="50"/>
      <c r="D48" s="51"/>
      <c r="E48" s="51"/>
      <c r="F48" s="15">
        <f t="shared" si="0"/>
        <v>0</v>
      </c>
    </row>
    <row r="49" spans="1:6" ht="18.75" hidden="1" customHeight="1" thickBot="1">
      <c r="B49" s="55" t="s">
        <v>137</v>
      </c>
      <c r="C49" s="50"/>
      <c r="D49" s="51">
        <v>0</v>
      </c>
      <c r="E49" s="51">
        <v>0</v>
      </c>
      <c r="F49" s="15">
        <f t="shared" si="0"/>
        <v>0</v>
      </c>
    </row>
    <row r="50" spans="1:6" ht="15" customHeight="1" thickBot="1">
      <c r="B50" s="56" t="s">
        <v>138</v>
      </c>
      <c r="C50" s="57"/>
      <c r="D50" s="54">
        <f>+D47+D49</f>
        <v>125525866</v>
      </c>
      <c r="E50" s="54">
        <f>+E47+E49</f>
        <v>221032510</v>
      </c>
      <c r="F50" s="15">
        <f t="shared" si="0"/>
        <v>-95506.644</v>
      </c>
    </row>
    <row r="51" spans="1:6" ht="15" customHeight="1">
      <c r="B51" s="47"/>
      <c r="C51" s="58"/>
      <c r="D51" s="59"/>
      <c r="E51" s="59"/>
      <c r="F51" s="15">
        <f t="shared" si="0"/>
        <v>0</v>
      </c>
    </row>
    <row r="52" spans="1:6" ht="15" customHeight="1" thickBot="1">
      <c r="B52" s="45" t="s">
        <v>139</v>
      </c>
      <c r="C52" s="47"/>
      <c r="D52" s="48"/>
      <c r="E52" s="48"/>
      <c r="F52" s="15">
        <f t="shared" si="0"/>
        <v>0</v>
      </c>
    </row>
    <row r="53" spans="1:6" ht="15" customHeight="1" thickBot="1">
      <c r="A53" s="35"/>
      <c r="B53" s="49" t="s">
        <v>129</v>
      </c>
      <c r="C53" s="50">
        <v>8</v>
      </c>
      <c r="D53" s="51">
        <f>+[3]Pasivo!D17</f>
        <v>699746555</v>
      </c>
      <c r="E53" s="51">
        <f>+[3]Pasivo!E17</f>
        <v>626272073</v>
      </c>
      <c r="F53" s="15">
        <f t="shared" si="0"/>
        <v>73474.482000000004</v>
      </c>
    </row>
    <row r="54" spans="1:6" ht="15" customHeight="1" thickBot="1">
      <c r="B54" s="49" t="s">
        <v>140</v>
      </c>
      <c r="C54" s="50">
        <v>15</v>
      </c>
      <c r="D54" s="51">
        <f>+[3]Pasivo!D18</f>
        <v>1885994</v>
      </c>
      <c r="E54" s="51">
        <f>+[3]Pasivo!E18</f>
        <v>1862609</v>
      </c>
      <c r="F54" s="15">
        <f t="shared" si="0"/>
        <v>23.385000000000002</v>
      </c>
    </row>
    <row r="55" spans="1:6" ht="15" customHeight="1" thickBot="1">
      <c r="B55" s="49" t="s">
        <v>141</v>
      </c>
      <c r="C55" s="50">
        <v>23</v>
      </c>
      <c r="D55" s="51">
        <f>+[3]Pasivo!D19</f>
        <v>1156071</v>
      </c>
      <c r="E55" s="51">
        <f>+[3]Pasivo!E19</f>
        <v>1118746</v>
      </c>
      <c r="F55" s="15">
        <f t="shared" si="0"/>
        <v>37.325000000000003</v>
      </c>
    </row>
    <row r="56" spans="1:6" ht="15" customHeight="1" thickBot="1">
      <c r="B56" s="49" t="s">
        <v>142</v>
      </c>
      <c r="C56" s="50">
        <v>8</v>
      </c>
      <c r="D56" s="51">
        <f>+[3]Pasivo!D20</f>
        <v>32851618</v>
      </c>
      <c r="E56" s="51">
        <f>+[3]Pasivo!E20</f>
        <v>34360206</v>
      </c>
      <c r="F56" s="15">
        <f t="shared" si="0"/>
        <v>-1508.588</v>
      </c>
    </row>
    <row r="57" spans="1:6" ht="15" customHeight="1" thickBot="1">
      <c r="B57" s="49" t="s">
        <v>143</v>
      </c>
      <c r="C57" s="50">
        <v>19</v>
      </c>
      <c r="D57" s="51">
        <f>+[3]Pasivo!D21</f>
        <v>9540413</v>
      </c>
      <c r="E57" s="51">
        <f>+[3]Pasivo!E21</f>
        <v>8542371</v>
      </c>
      <c r="F57" s="15">
        <f t="shared" si="0"/>
        <v>998.04200000000003</v>
      </c>
    </row>
    <row r="58" spans="1:6" ht="15" customHeight="1" thickBot="1">
      <c r="B58" s="49" t="s">
        <v>135</v>
      </c>
      <c r="C58" s="50"/>
      <c r="D58" s="51">
        <f>+[3]Pasivo!D22</f>
        <v>7313560</v>
      </c>
      <c r="E58" s="51">
        <f>+[3]Pasivo!E22</f>
        <v>7888047</v>
      </c>
      <c r="F58" s="15">
        <f t="shared" si="0"/>
        <v>-574.48699999999997</v>
      </c>
    </row>
    <row r="59" spans="1:6" ht="15" customHeight="1" thickBot="1">
      <c r="B59" s="56" t="s">
        <v>144</v>
      </c>
      <c r="C59" s="57"/>
      <c r="D59" s="54">
        <f>SUM(D53:D58)</f>
        <v>752494211</v>
      </c>
      <c r="E59" s="54">
        <f>SUM(E53:E58)</f>
        <v>680044052</v>
      </c>
      <c r="F59" s="15">
        <f t="shared" si="0"/>
        <v>72450.159</v>
      </c>
    </row>
    <row r="60" spans="1:6" ht="15" customHeight="1" thickBot="1">
      <c r="B60" s="60"/>
      <c r="C60" s="61"/>
      <c r="D60" s="48"/>
      <c r="E60" s="48"/>
      <c r="F60" s="15">
        <f t="shared" si="0"/>
        <v>0</v>
      </c>
    </row>
    <row r="61" spans="1:6" ht="15" customHeight="1" thickBot="1">
      <c r="B61" s="56" t="s">
        <v>145</v>
      </c>
      <c r="C61" s="57"/>
      <c r="D61" s="54">
        <f>+D59+D47</f>
        <v>878020077</v>
      </c>
      <c r="E61" s="54">
        <f>+E59+E47</f>
        <v>901076562</v>
      </c>
      <c r="F61" s="15">
        <f t="shared" si="0"/>
        <v>-23056.485000000001</v>
      </c>
    </row>
    <row r="62" spans="1:6" ht="15" customHeight="1">
      <c r="B62" s="45"/>
      <c r="C62" s="58"/>
      <c r="D62" s="59"/>
      <c r="E62" s="59"/>
      <c r="F62" s="15">
        <f t="shared" si="0"/>
        <v>0</v>
      </c>
    </row>
    <row r="63" spans="1:6" ht="15" customHeight="1" thickBot="1">
      <c r="B63" s="45" t="s">
        <v>146</v>
      </c>
      <c r="C63" s="47"/>
      <c r="D63" s="48"/>
      <c r="E63" s="48"/>
      <c r="F63" s="15">
        <f t="shared" si="0"/>
        <v>0</v>
      </c>
    </row>
    <row r="64" spans="1:6" ht="11.25" hidden="1" customHeight="1" thickBot="1">
      <c r="B64" s="369"/>
      <c r="C64" s="370"/>
      <c r="D64" s="370"/>
      <c r="E64" s="370"/>
      <c r="F64" s="15">
        <f t="shared" si="0"/>
        <v>0</v>
      </c>
    </row>
    <row r="65" spans="2:6" ht="13.5" thickBot="1">
      <c r="B65" s="49" t="s">
        <v>147</v>
      </c>
      <c r="C65" s="50"/>
      <c r="D65" s="51">
        <f>+[3]Pasivo!D27</f>
        <v>468358402</v>
      </c>
      <c r="E65" s="51">
        <f>+[3]Pasivo!E27</f>
        <v>468358402</v>
      </c>
      <c r="F65" s="15">
        <f t="shared" si="0"/>
        <v>0</v>
      </c>
    </row>
    <row r="66" spans="2:6" ht="13.5" thickBot="1">
      <c r="B66" s="49" t="s">
        <v>148</v>
      </c>
      <c r="C66" s="50"/>
      <c r="D66" s="51">
        <f>+[3]Pasivo!D28</f>
        <v>142477829</v>
      </c>
      <c r="E66" s="51">
        <f>+[3]Pasivo!E28</f>
        <v>149822099</v>
      </c>
      <c r="F66" s="15">
        <f t="shared" si="0"/>
        <v>-7344.27</v>
      </c>
    </row>
    <row r="67" spans="2:6" ht="13.5" hidden="1" customHeight="1" thickBot="1">
      <c r="B67" s="49" t="s">
        <v>149</v>
      </c>
      <c r="C67" s="50"/>
      <c r="D67" s="51"/>
      <c r="E67" s="51"/>
      <c r="F67" s="15">
        <f t="shared" si="0"/>
        <v>0</v>
      </c>
    </row>
    <row r="68" spans="2:6" ht="13.5" thickBot="1">
      <c r="B68" s="49" t="s">
        <v>149</v>
      </c>
      <c r="C68" s="50"/>
      <c r="D68" s="51"/>
      <c r="E68" s="51"/>
      <c r="F68" s="15">
        <f t="shared" si="0"/>
        <v>0</v>
      </c>
    </row>
    <row r="69" spans="2:6" ht="13.5" thickBot="1">
      <c r="B69" s="49" t="s">
        <v>150</v>
      </c>
      <c r="C69" s="50"/>
      <c r="D69" s="51">
        <f>+[3]Pasivo!D29</f>
        <v>-37268417</v>
      </c>
      <c r="E69" s="51">
        <f>+[3]Pasivo!E29</f>
        <v>-37268417</v>
      </c>
      <c r="F69" s="15">
        <f t="shared" si="0"/>
        <v>0</v>
      </c>
    </row>
    <row r="70" spans="2:6" ht="23.25" customHeight="1" thickBot="1">
      <c r="B70" s="62" t="s">
        <v>85</v>
      </c>
      <c r="C70" s="50"/>
      <c r="D70" s="63">
        <f>SUM(D65:D69)</f>
        <v>573567814</v>
      </c>
      <c r="E70" s="63">
        <f>SUM(E65:E69)</f>
        <v>580912084</v>
      </c>
      <c r="F70" s="15">
        <f t="shared" si="0"/>
        <v>-7344.27</v>
      </c>
    </row>
    <row r="71" spans="2:6" ht="15" customHeight="1" thickBot="1">
      <c r="B71" s="64" t="s">
        <v>86</v>
      </c>
      <c r="C71" s="50">
        <v>4</v>
      </c>
      <c r="D71" s="63">
        <f>+[3]Pasivo!D31</f>
        <v>359676148</v>
      </c>
      <c r="E71" s="63">
        <f>+[3]Pasivo!E31</f>
        <v>368767137</v>
      </c>
      <c r="F71" s="15">
        <f t="shared" si="0"/>
        <v>-9090.9889999999996</v>
      </c>
    </row>
    <row r="72" spans="2:6" ht="32.25" customHeight="1" thickBot="1">
      <c r="B72" s="56" t="s">
        <v>151</v>
      </c>
      <c r="C72" s="65"/>
      <c r="D72" s="54">
        <f>+D71+D70</f>
        <v>933243962</v>
      </c>
      <c r="E72" s="54">
        <f>+E70+E71</f>
        <v>949679221</v>
      </c>
      <c r="F72" s="15">
        <f t="shared" si="0"/>
        <v>-16435.258999999998</v>
      </c>
    </row>
    <row r="73" spans="2:6" ht="15" customHeight="1" thickBot="1">
      <c r="B73" s="47"/>
      <c r="C73" s="58"/>
      <c r="D73" s="59"/>
      <c r="E73" s="59"/>
      <c r="F73" s="15">
        <f>+(D73-E73)/1000</f>
        <v>0</v>
      </c>
    </row>
    <row r="74" spans="2:6" ht="15" customHeight="1" thickBot="1">
      <c r="B74" s="56" t="s">
        <v>152</v>
      </c>
      <c r="C74" s="57"/>
      <c r="D74" s="54">
        <f>+D72+D61</f>
        <v>1811264039</v>
      </c>
      <c r="E74" s="54">
        <f>+E72+E61</f>
        <v>1850755783</v>
      </c>
      <c r="F74" s="15">
        <f>+(D74-E74)/1000</f>
        <v>-39491.743999999999</v>
      </c>
    </row>
    <row r="76" spans="2:6" ht="15" customHeight="1">
      <c r="D76" s="15">
        <f>+D74-D33</f>
        <v>0</v>
      </c>
      <c r="E76" s="15">
        <f>+E74-E33</f>
        <v>0</v>
      </c>
    </row>
  </sheetData>
  <mergeCells count="5">
    <mergeCell ref="B4:B5"/>
    <mergeCell ref="C4:C5"/>
    <mergeCell ref="B36:B37"/>
    <mergeCell ref="C36:C37"/>
    <mergeCell ref="B64:E64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33" min="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30DE542B-17D1-4CDE-8E1F-02FFC258B4C5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Cuadro Ingresos </vt:lpstr>
      <vt:lpstr>Cuadro Bce</vt:lpstr>
      <vt:lpstr>Indicadores</vt:lpstr>
      <vt:lpstr>Fechas Indexaciones</vt:lpstr>
      <vt:lpstr>Cuadro Flujo</vt:lpstr>
      <vt:lpstr>Cuadro Finanzas</vt:lpstr>
      <vt:lpstr>cálculos</vt:lpstr>
      <vt:lpstr>Balance</vt:lpstr>
      <vt:lpstr>Resultado</vt:lpstr>
      <vt:lpstr>Flujo</vt:lpstr>
      <vt:lpstr>Anualizados</vt:lpstr>
      <vt:lpstr>valor acción</vt:lpstr>
      <vt:lpstr>cálculos!Área_de_impresión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2015-02-20T00:33:42Z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IAMC Mar 2014.xlsx</vt:lpwstr>
  </property>
</Properties>
</file>