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updateLinks="never" defaultThemeVersion="124226"/>
  <bookViews>
    <workbookView xWindow="-15" yWindow="3975" windowWidth="15330" windowHeight="4200" tabRatio="904" firstSheet="7" activeTab="7"/>
  </bookViews>
  <sheets>
    <sheet name="BExRepositorySheet" sheetId="9" state="veryHidden" r:id="rId1"/>
    <sheet name="Fechas Indexaciones" sheetId="19" state="hidden" r:id="rId2"/>
    <sheet name="Cuadro Bce" sheetId="8" state="hidden" r:id="rId3"/>
    <sheet name="Indicadores" sheetId="15" state="hidden" r:id="rId4"/>
    <sheet name="Cuadro Resultado" sheetId="16" state="hidden" r:id="rId5"/>
    <sheet name="Cuadro Flujo" sheetId="17" state="hidden" r:id="rId6"/>
    <sheet name="Cuadros Gestión" sheetId="18" state="hidden" r:id="rId7"/>
    <sheet name="Nuevos cuadros" sheetId="20" r:id="rId8"/>
    <sheet name="Trimestral" sheetId="21" state="hidden" r:id="rId9"/>
    <sheet name="cálculos" sheetId="4" state="hidden" r:id="rId10"/>
    <sheet name="Balance" sheetId="11" state="hidden" r:id="rId11"/>
    <sheet name="Resultado" sheetId="12" state="hidden" r:id="rId12"/>
    <sheet name="Flujo" sheetId="13" state="hidden" r:id="rId13"/>
    <sheet name="Anualizados" sheetId="10" state="hidden" r:id="rId14"/>
    <sheet name="valor acción" sheetId="14" state="hidden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Print_Area" localSheetId="9">cálculos!$H$4:$L$50</definedName>
    <definedName name="_xlnm.Print_Area" localSheetId="2">'Cuadro Bce'!#REF!</definedName>
    <definedName name="_xlnm.Print_Area" localSheetId="5">'Cuadro Flujo'!#REF!</definedName>
    <definedName name="_xlnm.Print_Area" localSheetId="4">'Cuadro Resultado'!#REF!</definedName>
    <definedName name="_xlnm.Print_Area" localSheetId="6">'Cuadros Gestión'!#REF!</definedName>
    <definedName name="_xlnm.Print_Area" localSheetId="3">Indicadores!$B$3:$F$27</definedName>
  </definedNames>
  <calcPr calcId="145621"/>
</workbook>
</file>

<file path=xl/calcChain.xml><?xml version="1.0" encoding="utf-8"?>
<calcChain xmlns="http://schemas.openxmlformats.org/spreadsheetml/2006/main">
  <c r="G75" i="13" l="1"/>
  <c r="E32" i="4" s="1"/>
  <c r="F32" i="4" s="1"/>
  <c r="F75" i="13"/>
  <c r="D32" i="4" s="1"/>
  <c r="H72" i="13"/>
  <c r="E71" i="13"/>
  <c r="G71" i="13" s="1"/>
  <c r="D71" i="13"/>
  <c r="F71" i="13" s="1"/>
  <c r="G66" i="13"/>
  <c r="F66" i="13"/>
  <c r="H65" i="13"/>
  <c r="H64" i="13"/>
  <c r="H62" i="13"/>
  <c r="H61" i="13"/>
  <c r="H60" i="13"/>
  <c r="H58" i="13"/>
  <c r="G63" i="13"/>
  <c r="F63" i="13"/>
  <c r="G59" i="13"/>
  <c r="F59" i="13"/>
  <c r="E57" i="13"/>
  <c r="E67" i="13" s="1"/>
  <c r="D57" i="13"/>
  <c r="D67" i="13" s="1"/>
  <c r="G56" i="13"/>
  <c r="F56" i="13"/>
  <c r="G55" i="13"/>
  <c r="F55" i="13"/>
  <c r="G54" i="13"/>
  <c r="F54" i="13"/>
  <c r="G53" i="13"/>
  <c r="F53" i="13"/>
  <c r="H53" i="13" s="1"/>
  <c r="G52" i="13"/>
  <c r="F52" i="13"/>
  <c r="H52" i="13" s="1"/>
  <c r="G51" i="13"/>
  <c r="F51" i="13"/>
  <c r="H51" i="13" s="1"/>
  <c r="E49" i="13"/>
  <c r="D49" i="13"/>
  <c r="G48" i="13"/>
  <c r="F48" i="13"/>
  <c r="H47" i="13"/>
  <c r="H46" i="13"/>
  <c r="H45" i="13"/>
  <c r="H44" i="13"/>
  <c r="H43" i="13"/>
  <c r="H42" i="13"/>
  <c r="H41" i="13"/>
  <c r="H40" i="13"/>
  <c r="H39" i="13"/>
  <c r="H38" i="13"/>
  <c r="H37" i="13"/>
  <c r="H35" i="13"/>
  <c r="G36" i="13"/>
  <c r="F36" i="13"/>
  <c r="G34" i="13"/>
  <c r="F34" i="13"/>
  <c r="G33" i="13"/>
  <c r="F33" i="13"/>
  <c r="G32" i="13"/>
  <c r="F32" i="13"/>
  <c r="H32" i="13" s="1"/>
  <c r="G31" i="13"/>
  <c r="F31" i="13"/>
  <c r="H31" i="13" s="1"/>
  <c r="G30" i="13"/>
  <c r="F30" i="13"/>
  <c r="H30" i="13" s="1"/>
  <c r="G29" i="13"/>
  <c r="F29" i="13"/>
  <c r="H29" i="13" s="1"/>
  <c r="G28" i="13"/>
  <c r="F28" i="13"/>
  <c r="H28" i="13" s="1"/>
  <c r="G27" i="13"/>
  <c r="F27" i="13"/>
  <c r="H27" i="13" s="1"/>
  <c r="G26" i="13"/>
  <c r="F26" i="13"/>
  <c r="H26" i="13" s="1"/>
  <c r="G25" i="13"/>
  <c r="F25" i="13"/>
  <c r="H25" i="13" s="1"/>
  <c r="E23" i="13"/>
  <c r="E73" i="13" s="1"/>
  <c r="E77" i="13" s="1"/>
  <c r="D23" i="13"/>
  <c r="G22" i="13"/>
  <c r="F22" i="13"/>
  <c r="G21" i="13"/>
  <c r="F21" i="13"/>
  <c r="G20" i="13"/>
  <c r="F20" i="13"/>
  <c r="G19" i="13"/>
  <c r="F19" i="13"/>
  <c r="H18" i="13"/>
  <c r="H17" i="13"/>
  <c r="H13" i="13"/>
  <c r="G16" i="13"/>
  <c r="F16" i="13"/>
  <c r="H16" i="13" s="1"/>
  <c r="G15" i="13"/>
  <c r="F15" i="13"/>
  <c r="G14" i="13"/>
  <c r="F14" i="13"/>
  <c r="G12" i="13"/>
  <c r="F12" i="13"/>
  <c r="G10" i="13"/>
  <c r="F10" i="13"/>
  <c r="G9" i="13"/>
  <c r="F9" i="13"/>
  <c r="H8" i="13"/>
  <c r="H7" i="13"/>
  <c r="G6" i="13"/>
  <c r="F6" i="13"/>
  <c r="F73" i="11"/>
  <c r="F68" i="11"/>
  <c r="F67" i="11"/>
  <c r="F64" i="11"/>
  <c r="F63" i="11"/>
  <c r="F62" i="11"/>
  <c r="F60" i="11"/>
  <c r="F52" i="11"/>
  <c r="F51" i="11"/>
  <c r="F49" i="11"/>
  <c r="F48" i="11"/>
  <c r="F39" i="11"/>
  <c r="F38" i="11"/>
  <c r="E71" i="11"/>
  <c r="D71" i="11"/>
  <c r="E69" i="11"/>
  <c r="D69" i="11"/>
  <c r="E66" i="11"/>
  <c r="D66" i="11"/>
  <c r="E65" i="11"/>
  <c r="D65" i="11"/>
  <c r="E58" i="11"/>
  <c r="D58" i="11"/>
  <c r="E57" i="11"/>
  <c r="D57" i="11"/>
  <c r="E56" i="11"/>
  <c r="D56" i="11"/>
  <c r="E55" i="11"/>
  <c r="D55" i="11"/>
  <c r="E54" i="11"/>
  <c r="D54" i="11"/>
  <c r="E53" i="11"/>
  <c r="D53" i="11"/>
  <c r="E46" i="11"/>
  <c r="D46" i="11"/>
  <c r="E45" i="11"/>
  <c r="D45" i="11"/>
  <c r="E44" i="11"/>
  <c r="D44" i="11"/>
  <c r="E43" i="11"/>
  <c r="D43" i="11"/>
  <c r="E42" i="11"/>
  <c r="D42" i="11"/>
  <c r="E41" i="11"/>
  <c r="D41" i="11"/>
  <c r="E40" i="11"/>
  <c r="D40" i="11"/>
  <c r="F36" i="11"/>
  <c r="F35" i="11"/>
  <c r="F34" i="11"/>
  <c r="F32" i="11"/>
  <c r="F23" i="11"/>
  <c r="F22" i="11"/>
  <c r="F21" i="11"/>
  <c r="F19" i="11"/>
  <c r="F18" i="11"/>
  <c r="F17" i="11"/>
  <c r="F16" i="11"/>
  <c r="F9" i="11"/>
  <c r="E30" i="11"/>
  <c r="D30" i="11"/>
  <c r="E29" i="11"/>
  <c r="D29" i="11"/>
  <c r="E28" i="11"/>
  <c r="D28" i="11"/>
  <c r="E27" i="11"/>
  <c r="D27" i="11"/>
  <c r="E26" i="11"/>
  <c r="D26" i="11"/>
  <c r="E25" i="11"/>
  <c r="D25" i="11"/>
  <c r="E24" i="11"/>
  <c r="D24" i="11"/>
  <c r="E14" i="11"/>
  <c r="D14" i="11"/>
  <c r="E13" i="11"/>
  <c r="D13" i="11"/>
  <c r="E12" i="11"/>
  <c r="D12" i="11"/>
  <c r="E11" i="11"/>
  <c r="D11" i="11"/>
  <c r="E10" i="11"/>
  <c r="D10" i="11"/>
  <c r="E8" i="11"/>
  <c r="D8" i="11"/>
  <c r="P50" i="4"/>
  <c r="E63" i="4"/>
  <c r="F63" i="4" s="1"/>
  <c r="D54" i="4"/>
  <c r="E54" i="4" s="1"/>
  <c r="C54" i="4"/>
  <c r="C9" i="16" s="1"/>
  <c r="E49" i="4"/>
  <c r="D49" i="4"/>
  <c r="P46" i="4"/>
  <c r="D46" i="4"/>
  <c r="L49" i="4" s="1"/>
  <c r="M49" i="4" s="1"/>
  <c r="C46" i="4"/>
  <c r="J49" i="4" s="1"/>
  <c r="D38" i="4"/>
  <c r="D36" i="4"/>
  <c r="F27" i="4"/>
  <c r="E27" i="4"/>
  <c r="D27" i="4"/>
  <c r="E22" i="4"/>
  <c r="F22" i="4" s="1"/>
  <c r="D16" i="4"/>
  <c r="C49" i="4" s="1"/>
  <c r="E12" i="4"/>
  <c r="L4" i="4"/>
  <c r="J4" i="4"/>
  <c r="U8" i="16"/>
  <c r="U7" i="16"/>
  <c r="U6" i="16"/>
  <c r="U5" i="16"/>
  <c r="D9" i="16"/>
  <c r="Z6" i="16"/>
  <c r="Z5" i="16"/>
  <c r="Z3" i="16"/>
  <c r="X3" i="16"/>
  <c r="U3" i="16"/>
  <c r="S3" i="16"/>
  <c r="E3" i="16"/>
  <c r="D3" i="16"/>
  <c r="T3" i="16" s="1"/>
  <c r="Y3" i="16" s="1"/>
  <c r="H6" i="13" l="1"/>
  <c r="H9" i="13"/>
  <c r="H63" i="13"/>
  <c r="F43" i="11"/>
  <c r="F45" i="11"/>
  <c r="F53" i="11"/>
  <c r="F55" i="11"/>
  <c r="F57" i="11"/>
  <c r="D70" i="11"/>
  <c r="D72" i="11" s="1"/>
  <c r="F69" i="11"/>
  <c r="H20" i="13"/>
  <c r="F57" i="13"/>
  <c r="F67" i="13" s="1"/>
  <c r="D47" i="11"/>
  <c r="D50" i="11" s="1"/>
  <c r="E15" i="11"/>
  <c r="E20" i="11" s="1"/>
  <c r="E6" i="4" s="1"/>
  <c r="L7" i="4" s="1"/>
  <c r="E31" i="11"/>
  <c r="F27" i="11"/>
  <c r="F40" i="11"/>
  <c r="F42" i="11"/>
  <c r="F44" i="11"/>
  <c r="F46" i="11"/>
  <c r="F54" i="11"/>
  <c r="F56" i="11"/>
  <c r="F58" i="11"/>
  <c r="F66" i="11"/>
  <c r="F71" i="11"/>
  <c r="H71" i="13"/>
  <c r="H66" i="13"/>
  <c r="H19" i="13"/>
  <c r="G49" i="13"/>
  <c r="E29" i="4" s="1"/>
  <c r="F29" i="4" s="1"/>
  <c r="H36" i="13"/>
  <c r="E9" i="16"/>
  <c r="F11" i="11"/>
  <c r="E69" i="13"/>
  <c r="H54" i="13"/>
  <c r="F8" i="11"/>
  <c r="F13" i="11"/>
  <c r="F24" i="11"/>
  <c r="F26" i="11"/>
  <c r="F28" i="11"/>
  <c r="F30" i="11"/>
  <c r="G23" i="13"/>
  <c r="E28" i="4" s="1"/>
  <c r="H12" i="13"/>
  <c r="H15" i="13"/>
  <c r="H22" i="13"/>
  <c r="H33" i="13"/>
  <c r="H48" i="13"/>
  <c r="H55" i="13"/>
  <c r="G57" i="13"/>
  <c r="G67" i="13" s="1"/>
  <c r="E30" i="4" s="1"/>
  <c r="F30" i="4" s="1"/>
  <c r="F79" i="13"/>
  <c r="F10" i="11"/>
  <c r="F12" i="11"/>
  <c r="F14" i="11"/>
  <c r="D31" i="11"/>
  <c r="F31" i="11" s="1"/>
  <c r="F29" i="11"/>
  <c r="E47" i="11"/>
  <c r="E50" i="11" s="1"/>
  <c r="E10" i="4" s="1"/>
  <c r="E59" i="11"/>
  <c r="E11" i="4" s="1"/>
  <c r="E70" i="11"/>
  <c r="E72" i="11" s="1"/>
  <c r="H10" i="13"/>
  <c r="H14" i="13"/>
  <c r="H21" i="13"/>
  <c r="H34" i="13"/>
  <c r="H59" i="13"/>
  <c r="D73" i="13"/>
  <c r="D77" i="13" s="1"/>
  <c r="F49" i="13"/>
  <c r="H56" i="13"/>
  <c r="H75" i="13"/>
  <c r="F23" i="13"/>
  <c r="D69" i="13"/>
  <c r="E33" i="11"/>
  <c r="E7" i="4"/>
  <c r="D13" i="4"/>
  <c r="D59" i="11"/>
  <c r="D15" i="11"/>
  <c r="F41" i="11"/>
  <c r="F65" i="11"/>
  <c r="D12" i="4"/>
  <c r="F25" i="11"/>
  <c r="P49" i="4"/>
  <c r="K49" i="4"/>
  <c r="L8" i="4"/>
  <c r="L17" i="4"/>
  <c r="F54" i="4"/>
  <c r="L11" i="4"/>
  <c r="F9" i="16"/>
  <c r="K21" i="21"/>
  <c r="J21" i="21"/>
  <c r="K20" i="21"/>
  <c r="J20" i="21"/>
  <c r="K19" i="21"/>
  <c r="J19" i="21"/>
  <c r="K17" i="21"/>
  <c r="J17" i="21"/>
  <c r="K15" i="21"/>
  <c r="J15" i="21"/>
  <c r="K14" i="21"/>
  <c r="J14" i="21"/>
  <c r="K13" i="21"/>
  <c r="J13" i="21"/>
  <c r="K12" i="21"/>
  <c r="J12" i="21"/>
  <c r="K11" i="21"/>
  <c r="J11" i="21"/>
  <c r="K10" i="21"/>
  <c r="J10" i="21"/>
  <c r="K9" i="21"/>
  <c r="J9" i="21"/>
  <c r="K8" i="21"/>
  <c r="J8" i="21"/>
  <c r="K7" i="21"/>
  <c r="J7" i="21"/>
  <c r="K6" i="21"/>
  <c r="J6" i="21"/>
  <c r="K5" i="21"/>
  <c r="J5" i="21"/>
  <c r="K4" i="21"/>
  <c r="J4" i="21"/>
  <c r="K3" i="21"/>
  <c r="J3" i="21"/>
  <c r="F47" i="11" l="1"/>
  <c r="E8" i="4"/>
  <c r="D39" i="4" s="1"/>
  <c r="E13" i="4"/>
  <c r="L15" i="4" s="1"/>
  <c r="L43" i="4"/>
  <c r="D7" i="4"/>
  <c r="F70" i="11"/>
  <c r="H57" i="13"/>
  <c r="L18" i="4"/>
  <c r="L21" i="4" s="1"/>
  <c r="L14" i="4"/>
  <c r="M14" i="4" s="1"/>
  <c r="E14" i="4"/>
  <c r="L20" i="4"/>
  <c r="E61" i="11"/>
  <c r="E74" i="11" s="1"/>
  <c r="E76" i="11" s="1"/>
  <c r="J15" i="4"/>
  <c r="Q15" i="4" s="1"/>
  <c r="G69" i="13"/>
  <c r="G73" i="13" s="1"/>
  <c r="G77" i="13" s="1"/>
  <c r="G78" i="13" s="1"/>
  <c r="H67" i="13"/>
  <c r="D30" i="4"/>
  <c r="H23" i="13"/>
  <c r="F69" i="13"/>
  <c r="D28" i="4"/>
  <c r="F28" i="4"/>
  <c r="E31" i="4"/>
  <c r="H49" i="13"/>
  <c r="D29" i="4"/>
  <c r="P15" i="4"/>
  <c r="F59" i="11"/>
  <c r="D11" i="4"/>
  <c r="J20" i="4" s="1"/>
  <c r="D61" i="11"/>
  <c r="F50" i="11"/>
  <c r="D10" i="4"/>
  <c r="F13" i="4"/>
  <c r="D20" i="11"/>
  <c r="F15" i="11"/>
  <c r="D37" i="4"/>
  <c r="J40" i="4" s="1"/>
  <c r="D35" i="4"/>
  <c r="L40" i="4" s="1"/>
  <c r="F72" i="11"/>
  <c r="O49" i="4"/>
  <c r="P20" i="4"/>
  <c r="M7" i="4"/>
  <c r="M17" i="4"/>
  <c r="L12" i="21"/>
  <c r="L8" i="21"/>
  <c r="L4" i="21"/>
  <c r="L5" i="21"/>
  <c r="L7" i="21"/>
  <c r="L9" i="21"/>
  <c r="L10" i="21"/>
  <c r="L11" i="21"/>
  <c r="L13" i="21"/>
  <c r="L14" i="21"/>
  <c r="L15" i="21"/>
  <c r="L17" i="21"/>
  <c r="L19" i="21"/>
  <c r="L20" i="21"/>
  <c r="L21" i="21"/>
  <c r="F11" i="4" l="1"/>
  <c r="M20" i="4"/>
  <c r="F61" i="11"/>
  <c r="Q20" i="4"/>
  <c r="F31" i="4"/>
  <c r="F33" i="4" s="1"/>
  <c r="L10" i="4" s="1"/>
  <c r="E33" i="4"/>
  <c r="H69" i="13"/>
  <c r="F73" i="13"/>
  <c r="D31" i="4"/>
  <c r="D33" i="4" s="1"/>
  <c r="J10" i="4" s="1"/>
  <c r="P10" i="4" s="1"/>
  <c r="F20" i="11"/>
  <c r="D6" i="4"/>
  <c r="D33" i="11"/>
  <c r="F33" i="11" s="1"/>
  <c r="D74" i="11"/>
  <c r="P40" i="4"/>
  <c r="Q40" i="4"/>
  <c r="J17" i="4"/>
  <c r="D14" i="4"/>
  <c r="J14" i="4"/>
  <c r="J18" i="4"/>
  <c r="J11" i="4"/>
  <c r="J8" i="4"/>
  <c r="F10" i="4"/>
  <c r="L3" i="21"/>
  <c r="L6" i="21"/>
  <c r="H73" i="13" l="1"/>
  <c r="F77" i="13"/>
  <c r="Q10" i="4"/>
  <c r="M10" i="4"/>
  <c r="K17" i="4"/>
  <c r="O17" i="4" s="1"/>
  <c r="Q18" i="4"/>
  <c r="J21" i="4"/>
  <c r="P18" i="4"/>
  <c r="K10" i="4"/>
  <c r="Q11" i="4"/>
  <c r="P11" i="4"/>
  <c r="P17" i="4"/>
  <c r="Q17" i="4"/>
  <c r="F74" i="11"/>
  <c r="D76" i="11"/>
  <c r="Q8" i="4"/>
  <c r="P8" i="4"/>
  <c r="D8" i="4"/>
  <c r="J43" i="4" s="1"/>
  <c r="J7" i="4"/>
  <c r="Q14" i="4"/>
  <c r="P14" i="4"/>
  <c r="K14" i="4"/>
  <c r="O14" i="4" s="1"/>
  <c r="F78" i="13" l="1"/>
  <c r="H77" i="13"/>
  <c r="P43" i="4"/>
  <c r="Q43" i="4"/>
  <c r="P21" i="4"/>
  <c r="K20" i="4"/>
  <c r="O20" i="4" s="1"/>
  <c r="Q21" i="4"/>
  <c r="Q7" i="4"/>
  <c r="P7" i="4"/>
  <c r="R10" i="4"/>
  <c r="R11" i="4" s="1"/>
  <c r="O10" i="4"/>
  <c r="K7" i="4"/>
  <c r="O7" i="4" s="1"/>
  <c r="E54" i="12"/>
  <c r="D29" i="12"/>
  <c r="D26" i="12"/>
  <c r="C66" i="4" s="1"/>
  <c r="E20" i="12"/>
  <c r="D65" i="4" s="1"/>
  <c r="D20" i="12"/>
  <c r="C65" i="4" s="1"/>
  <c r="E17" i="12"/>
  <c r="D60" i="4" s="1"/>
  <c r="E16" i="12"/>
  <c r="D59" i="4" s="1"/>
  <c r="E15" i="12"/>
  <c r="D58" i="4" s="1"/>
  <c r="E14" i="12"/>
  <c r="D57" i="4" s="1"/>
  <c r="E13" i="12"/>
  <c r="D62" i="4" s="1"/>
  <c r="E12" i="12"/>
  <c r="D55" i="4" s="1"/>
  <c r="E10" i="12"/>
  <c r="D53" i="4" s="1"/>
  <c r="E9" i="12"/>
  <c r="D52" i="4" s="1"/>
  <c r="E8" i="12"/>
  <c r="D51" i="4" s="1"/>
  <c r="E7" i="12"/>
  <c r="D50" i="4" s="1"/>
  <c r="D17" i="12"/>
  <c r="C60" i="4" s="1"/>
  <c r="C15" i="16" s="1"/>
  <c r="D16" i="12"/>
  <c r="C59" i="4" s="1"/>
  <c r="C14" i="16" s="1"/>
  <c r="D15" i="12"/>
  <c r="C58" i="4" s="1"/>
  <c r="D14" i="12"/>
  <c r="C57" i="4" s="1"/>
  <c r="D13" i="12"/>
  <c r="C62" i="4" s="1"/>
  <c r="C17" i="16" s="1"/>
  <c r="D12" i="12"/>
  <c r="C55" i="4" s="1"/>
  <c r="C10" i="16" s="1"/>
  <c r="D10" i="12"/>
  <c r="C53" i="4" s="1"/>
  <c r="D9" i="12"/>
  <c r="C52" i="4" s="1"/>
  <c r="C7" i="16" s="1"/>
  <c r="D8" i="12"/>
  <c r="C51" i="4" s="1"/>
  <c r="D7" i="12"/>
  <c r="C50" i="4" s="1"/>
  <c r="E58" i="4" l="1"/>
  <c r="L24" i="4" s="1"/>
  <c r="E21" i="4"/>
  <c r="F21" i="4" s="1"/>
  <c r="L28" i="4" s="1"/>
  <c r="D13" i="16"/>
  <c r="D18" i="4"/>
  <c r="J35" i="4" s="1"/>
  <c r="C56" i="4"/>
  <c r="C5" i="16"/>
  <c r="E52" i="4"/>
  <c r="F52" i="4" s="1"/>
  <c r="D7" i="16"/>
  <c r="F7" i="16" s="1"/>
  <c r="D61" i="4"/>
  <c r="E61" i="4" s="1"/>
  <c r="F61" i="4" s="1"/>
  <c r="E57" i="4"/>
  <c r="F57" i="4" s="1"/>
  <c r="D12" i="16"/>
  <c r="D24" i="4"/>
  <c r="J27" i="4" s="1"/>
  <c r="C19" i="16"/>
  <c r="E65" i="4"/>
  <c r="F65" i="4" s="1"/>
  <c r="E24" i="4"/>
  <c r="F24" i="4" s="1"/>
  <c r="L27" i="4" s="1"/>
  <c r="D19" i="16"/>
  <c r="C8" i="16"/>
  <c r="D25" i="4"/>
  <c r="J29" i="4" s="1"/>
  <c r="D21" i="4"/>
  <c r="C13" i="16"/>
  <c r="E19" i="4"/>
  <c r="F19" i="4" s="1"/>
  <c r="E51" i="4"/>
  <c r="F51" i="4" s="1"/>
  <c r="D6" i="16"/>
  <c r="E62" i="4"/>
  <c r="F62" i="4" s="1"/>
  <c r="D17" i="16"/>
  <c r="F17" i="16" s="1"/>
  <c r="E60" i="4"/>
  <c r="F60" i="4" s="1"/>
  <c r="D15" i="16"/>
  <c r="F15" i="16" s="1"/>
  <c r="C6" i="16"/>
  <c r="D19" i="4"/>
  <c r="E53" i="4"/>
  <c r="F53" i="4" s="1"/>
  <c r="D8" i="16"/>
  <c r="E25" i="4"/>
  <c r="F25" i="4" s="1"/>
  <c r="L29" i="4" s="1"/>
  <c r="C61" i="4"/>
  <c r="C12" i="16"/>
  <c r="D56" i="4"/>
  <c r="D5" i="16"/>
  <c r="E18" i="4"/>
  <c r="E50" i="4"/>
  <c r="F50" i="4" s="1"/>
  <c r="D10" i="16"/>
  <c r="F10" i="16" s="1"/>
  <c r="E55" i="4"/>
  <c r="F55" i="4" s="1"/>
  <c r="D14" i="16"/>
  <c r="F14" i="16" s="1"/>
  <c r="E59" i="4"/>
  <c r="F59" i="4" s="1"/>
  <c r="C21" i="16"/>
  <c r="J30" i="4"/>
  <c r="V16" i="18"/>
  <c r="V17" i="18"/>
  <c r="D60" i="12"/>
  <c r="E55" i="12"/>
  <c r="E46" i="12"/>
  <c r="D46" i="12"/>
  <c r="D30" i="12"/>
  <c r="D19" i="12"/>
  <c r="D21" i="12" s="1"/>
  <c r="D23" i="12" s="1"/>
  <c r="D25" i="12" s="1"/>
  <c r="C24" i="16" s="1"/>
  <c r="E19" i="12"/>
  <c r="E21" i="12" s="1"/>
  <c r="E23" i="12" s="1"/>
  <c r="H5" i="10"/>
  <c r="G5" i="10"/>
  <c r="E17" i="16" l="1"/>
  <c r="E7" i="16"/>
  <c r="F12" i="16"/>
  <c r="C16" i="16"/>
  <c r="E12" i="16"/>
  <c r="G12" i="16"/>
  <c r="E19" i="16"/>
  <c r="F19" i="16"/>
  <c r="F5" i="16"/>
  <c r="C11" i="16"/>
  <c r="G7" i="16"/>
  <c r="E5" i="16"/>
  <c r="D64" i="4"/>
  <c r="E56" i="4"/>
  <c r="F56" i="4" s="1"/>
  <c r="H6" i="16"/>
  <c r="J24" i="4"/>
  <c r="J28" i="4"/>
  <c r="E14" i="16"/>
  <c r="E15" i="16"/>
  <c r="E10" i="16"/>
  <c r="F58" i="4"/>
  <c r="F6" i="16"/>
  <c r="G6" i="16"/>
  <c r="I6" i="16" s="1"/>
  <c r="E6" i="16"/>
  <c r="D11" i="16"/>
  <c r="H7" i="16"/>
  <c r="E13" i="16"/>
  <c r="F13" i="16"/>
  <c r="D16" i="16"/>
  <c r="H12" i="16"/>
  <c r="L35" i="4"/>
  <c r="P35" i="4" s="1"/>
  <c r="F18" i="4"/>
  <c r="E8" i="16"/>
  <c r="F8" i="16"/>
  <c r="C64" i="4"/>
  <c r="D27" i="12"/>
  <c r="D49" i="12" s="1"/>
  <c r="D57" i="12" s="1"/>
  <c r="D59" i="12"/>
  <c r="D61" i="12" s="1"/>
  <c r="B10" i="10"/>
  <c r="B17" i="10"/>
  <c r="B19" i="10"/>
  <c r="B18" i="10"/>
  <c r="B12" i="10"/>
  <c r="B11" i="10"/>
  <c r="D67" i="4" l="1"/>
  <c r="E20" i="4"/>
  <c r="F20" i="4" s="1"/>
  <c r="L23" i="4" s="1"/>
  <c r="M23" i="4" s="1"/>
  <c r="E64" i="4"/>
  <c r="F64" i="4" s="1"/>
  <c r="E16" i="16"/>
  <c r="F16" i="16"/>
  <c r="D18" i="16"/>
  <c r="D20" i="16" s="1"/>
  <c r="J6" i="16"/>
  <c r="C68" i="4"/>
  <c r="C67" i="4"/>
  <c r="D20" i="4"/>
  <c r="J23" i="4" s="1"/>
  <c r="J7" i="16"/>
  <c r="I7" i="16"/>
  <c r="P24" i="4"/>
  <c r="Q24" i="4"/>
  <c r="F11" i="16"/>
  <c r="C18" i="16"/>
  <c r="E11" i="16"/>
  <c r="J12" i="16"/>
  <c r="I12" i="16"/>
  <c r="D6" i="8"/>
  <c r="F18" i="16" l="1"/>
  <c r="E18" i="16"/>
  <c r="E20" i="16" s="1"/>
  <c r="C20" i="16"/>
  <c r="J39" i="4"/>
  <c r="D23" i="4"/>
  <c r="J26" i="4" s="1"/>
  <c r="J32" i="4" s="1"/>
  <c r="Q23" i="4"/>
  <c r="K23" i="4"/>
  <c r="O23" i="4" s="1"/>
  <c r="P23" i="4"/>
  <c r="E67" i="4"/>
  <c r="F67" i="4" s="1"/>
  <c r="C5" i="17"/>
  <c r="J42" i="4" l="1"/>
  <c r="K39" i="4"/>
  <c r="C22" i="16"/>
  <c r="F20" i="16"/>
  <c r="D22" i="4"/>
  <c r="D5" i="17"/>
  <c r="C25" i="16" l="1"/>
  <c r="K42" i="4"/>
  <c r="J45" i="4"/>
  <c r="K45" i="4" l="1"/>
  <c r="W8" i="18"/>
  <c r="W7" i="18"/>
  <c r="W6" i="18"/>
  <c r="W5" i="18"/>
  <c r="V6" i="18" l="1"/>
  <c r="V7" i="18"/>
  <c r="V8" i="18"/>
  <c r="V5" i="18"/>
  <c r="B13" i="10" l="1"/>
  <c r="B20" i="10" s="1"/>
  <c r="P7" i="18" l="1"/>
  <c r="Q7" i="18" s="1"/>
  <c r="P8" i="18"/>
  <c r="Q8" i="18" s="1"/>
  <c r="P6" i="18"/>
  <c r="Q6" i="18" s="1"/>
  <c r="P5" i="18"/>
  <c r="Q5" i="18" s="1"/>
  <c r="D11" i="17"/>
  <c r="C11" i="17"/>
  <c r="C14" i="8"/>
  <c r="C10" i="8"/>
  <c r="C6" i="8"/>
  <c r="I5" i="10"/>
  <c r="F3" i="15"/>
  <c r="E3" i="17" s="1"/>
  <c r="J3" i="18" s="1"/>
  <c r="P3" i="18" s="1"/>
  <c r="V3" i="18" s="1"/>
  <c r="V14" i="18" s="1"/>
  <c r="H10" i="18"/>
  <c r="F10" i="18"/>
  <c r="G8" i="18" s="1"/>
  <c r="J8" i="18"/>
  <c r="K8" i="18" s="1"/>
  <c r="J7" i="18"/>
  <c r="K7" i="18" s="1"/>
  <c r="J6" i="18"/>
  <c r="K6" i="18" s="1"/>
  <c r="J5" i="18"/>
  <c r="K5" i="18" s="1"/>
  <c r="O9" i="18"/>
  <c r="N9" i="18"/>
  <c r="E3" i="15"/>
  <c r="D3" i="15"/>
  <c r="C3" i="16" s="1"/>
  <c r="F11" i="18"/>
  <c r="D14" i="8"/>
  <c r="C17" i="10"/>
  <c r="D5" i="8"/>
  <c r="C5" i="8"/>
  <c r="D13" i="8"/>
  <c r="C9" i="8"/>
  <c r="D11" i="15"/>
  <c r="E5" i="8" l="1"/>
  <c r="I6" i="18"/>
  <c r="I8" i="18"/>
  <c r="F32" i="18"/>
  <c r="C11" i="8"/>
  <c r="C3" i="17"/>
  <c r="F3" i="18" s="1"/>
  <c r="N3" i="18" s="1"/>
  <c r="T3" i="18" s="1"/>
  <c r="T14" i="18" s="1"/>
  <c r="C7" i="8"/>
  <c r="E6" i="8"/>
  <c r="F12" i="18"/>
  <c r="H32" i="18"/>
  <c r="I7" i="18"/>
  <c r="I5" i="18"/>
  <c r="G6" i="18"/>
  <c r="F5" i="8"/>
  <c r="D7" i="8"/>
  <c r="C13" i="8"/>
  <c r="E14" i="8"/>
  <c r="F14" i="8"/>
  <c r="G11" i="17"/>
  <c r="F11" i="17"/>
  <c r="D10" i="8"/>
  <c r="C18" i="10"/>
  <c r="H11" i="18"/>
  <c r="H12" i="18" s="1"/>
  <c r="D7" i="17"/>
  <c r="E11" i="17"/>
  <c r="C19" i="10"/>
  <c r="P9" i="18"/>
  <c r="Q9" i="18" s="1"/>
  <c r="D10" i="15"/>
  <c r="G5" i="18"/>
  <c r="J10" i="18"/>
  <c r="K10" i="18" s="1"/>
  <c r="G7" i="18"/>
  <c r="E19" i="15"/>
  <c r="D19" i="15"/>
  <c r="D3" i="17"/>
  <c r="H3" i="18" s="1"/>
  <c r="O3" i="18" s="1"/>
  <c r="U3" i="18" s="1"/>
  <c r="U14" i="18" s="1"/>
  <c r="D6" i="17"/>
  <c r="D15" i="8"/>
  <c r="F6" i="8"/>
  <c r="D9" i="8"/>
  <c r="C15" i="8" l="1"/>
  <c r="C16" i="8" s="1"/>
  <c r="C18" i="8" s="1"/>
  <c r="E10" i="8"/>
  <c r="E7" i="8"/>
  <c r="F7" i="8"/>
  <c r="F10" i="8"/>
  <c r="F13" i="8"/>
  <c r="G10" i="18"/>
  <c r="I10" i="18"/>
  <c r="C11" i="10"/>
  <c r="D12" i="15"/>
  <c r="D6" i="15"/>
  <c r="E13" i="8"/>
  <c r="E15" i="8" s="1"/>
  <c r="C20" i="10"/>
  <c r="C6" i="17"/>
  <c r="F19" i="15"/>
  <c r="D11" i="8"/>
  <c r="E9" i="8"/>
  <c r="F9" i="8"/>
  <c r="G5" i="17"/>
  <c r="F5" i="17"/>
  <c r="D9" i="17"/>
  <c r="E5" i="17"/>
  <c r="E6" i="15"/>
  <c r="E12" i="15"/>
  <c r="E11" i="8" l="1"/>
  <c r="E16" i="8" s="1"/>
  <c r="E18" i="8" s="1"/>
  <c r="F15" i="8"/>
  <c r="G6" i="17"/>
  <c r="F12" i="15"/>
  <c r="F6" i="17"/>
  <c r="C12" i="10"/>
  <c r="F6" i="15"/>
  <c r="E6" i="17"/>
  <c r="E11" i="15"/>
  <c r="D13" i="17"/>
  <c r="F11" i="8"/>
  <c r="D16" i="8"/>
  <c r="E13" i="15"/>
  <c r="C10" i="10"/>
  <c r="E7" i="15"/>
  <c r="E10" i="15"/>
  <c r="F11" i="15" l="1"/>
  <c r="F10" i="15"/>
  <c r="C13" i="10"/>
  <c r="C5" i="10"/>
  <c r="C7" i="17"/>
  <c r="D15" i="17"/>
  <c r="D25" i="17"/>
  <c r="D18" i="8"/>
  <c r="F16" i="8"/>
  <c r="F18" i="8" s="1"/>
  <c r="G7" i="17" l="1"/>
  <c r="F7" i="17"/>
  <c r="E7" i="17"/>
  <c r="C9" i="17"/>
  <c r="D13" i="15"/>
  <c r="F13" i="15" l="1"/>
  <c r="D16" i="15"/>
  <c r="C13" i="17"/>
  <c r="E9" i="17"/>
  <c r="G9" i="17"/>
  <c r="F9" i="17"/>
  <c r="D17" i="15" l="1"/>
  <c r="D7" i="15"/>
  <c r="C15" i="17"/>
  <c r="G13" i="17"/>
  <c r="E13" i="17"/>
  <c r="F13" i="17"/>
  <c r="C25" i="17"/>
  <c r="F7" i="15" l="1"/>
  <c r="D18" i="15"/>
  <c r="E26" i="12" l="1"/>
  <c r="D66" i="4" s="1"/>
  <c r="E66" i="4" l="1"/>
  <c r="D21" i="16"/>
  <c r="D68" i="4"/>
  <c r="E25" i="12"/>
  <c r="D24" i="16" s="1"/>
  <c r="L30" i="4" l="1"/>
  <c r="E68" i="4"/>
  <c r="L39" i="4" s="1"/>
  <c r="E21" i="16"/>
  <c r="E22" i="16" s="1"/>
  <c r="F21" i="16"/>
  <c r="D22" i="16"/>
  <c r="F68" i="4"/>
  <c r="E23" i="4"/>
  <c r="F23" i="4" s="1"/>
  <c r="L26" i="4" s="1"/>
  <c r="F66" i="4"/>
  <c r="E27" i="12"/>
  <c r="E49" i="12" s="1"/>
  <c r="E57" i="12" s="1"/>
  <c r="L32" i="4" l="1"/>
  <c r="M32" i="4" s="1"/>
  <c r="D25" i="16"/>
  <c r="F22" i="16"/>
  <c r="L45" i="4"/>
  <c r="M39" i="4"/>
  <c r="O39" i="4" s="1"/>
  <c r="L42" i="4"/>
  <c r="P39" i="4"/>
  <c r="Q39" i="4"/>
  <c r="E29" i="12"/>
  <c r="E30" i="12" s="1"/>
  <c r="C4" i="10"/>
  <c r="M42" i="4" l="1"/>
  <c r="O42" i="4" s="1"/>
  <c r="P42" i="4"/>
  <c r="Q42" i="4"/>
  <c r="M45" i="4"/>
  <c r="P45" i="4"/>
  <c r="C3" i="10"/>
  <c r="C6" i="10" s="1"/>
  <c r="O45" i="4" l="1"/>
  <c r="E16" i="15"/>
  <c r="F16" i="15" l="1"/>
  <c r="E18" i="15"/>
  <c r="F18" i="15" s="1"/>
  <c r="E17" i="15"/>
  <c r="F17" i="15" l="1"/>
  <c r="E60" i="12" l="1"/>
  <c r="E61" i="12" s="1"/>
</calcChain>
</file>

<file path=xl/sharedStrings.xml><?xml version="1.0" encoding="utf-8"?>
<sst xmlns="http://schemas.openxmlformats.org/spreadsheetml/2006/main" count="765" uniqueCount="488">
  <si>
    <t>Pasivos corrientes</t>
  </si>
  <si>
    <t>Pasivos no corrientes</t>
  </si>
  <si>
    <t>Activos corrientes</t>
  </si>
  <si>
    <t>Activos no corrientes</t>
  </si>
  <si>
    <t>Total Activos</t>
  </si>
  <si>
    <t xml:space="preserve"> </t>
  </si>
  <si>
    <t>INDICADORES FINANCIEROS</t>
  </si>
  <si>
    <t>BALANCE</t>
  </si>
  <si>
    <t>LIQUIDEZ</t>
  </si>
  <si>
    <t>M$</t>
  </si>
  <si>
    <t>LIQUIDEZ CORRIENTE</t>
  </si>
  <si>
    <t>Balance</t>
  </si>
  <si>
    <t>=</t>
  </si>
  <si>
    <t>TOTAL</t>
  </si>
  <si>
    <t>RAZON ACIDA</t>
  </si>
  <si>
    <t>ENDEUDAMIENTO</t>
  </si>
  <si>
    <t>ENDEUDAMIENTO TOTAL</t>
  </si>
  <si>
    <t xml:space="preserve">Pasivo exigible </t>
  </si>
  <si>
    <t>EERR</t>
  </si>
  <si>
    <t>DEUDA A CORTO PLAZO</t>
  </si>
  <si>
    <t xml:space="preserve">Deuda total </t>
  </si>
  <si>
    <t>DEUDA A LARGO PLAZO</t>
  </si>
  <si>
    <t>COBERTURA DE GASTOS FINANCIEROS</t>
  </si>
  <si>
    <t>Resultado antes de imptos e intereses</t>
  </si>
  <si>
    <t>GASTOS FINANCIEROS</t>
  </si>
  <si>
    <t>Gastos financieros</t>
  </si>
  <si>
    <t>R.A.I.I.D.A.I.E.</t>
  </si>
  <si>
    <t>UTILIDAD DESPUES DE IMPUESTO</t>
  </si>
  <si>
    <t>Impuesto Renta</t>
  </si>
  <si>
    <t>R.A.I.I.D.A.I.E</t>
  </si>
  <si>
    <t>Flujo neto total del período</t>
  </si>
  <si>
    <t xml:space="preserve"> Impuestos</t>
  </si>
  <si>
    <t xml:space="preserve"> Intereses (Gastos financieros)</t>
  </si>
  <si>
    <t>Saldo inicial de Efectivo</t>
  </si>
  <si>
    <t>Saldo final del Efectivo</t>
  </si>
  <si>
    <t xml:space="preserve">Items extrordinarios </t>
  </si>
  <si>
    <t xml:space="preserve">RENTABILIDAD </t>
  </si>
  <si>
    <t>RENTABILIDAD DEL PATRIMONIO</t>
  </si>
  <si>
    <t>Utilidad o pérdida del ejercicio</t>
  </si>
  <si>
    <t>RENTABILIDAD DEL ACTIVO</t>
  </si>
  <si>
    <t>Total Activos (promedios)</t>
  </si>
  <si>
    <t>UTILIDAD POR ACCION</t>
  </si>
  <si>
    <t xml:space="preserve">Resultado </t>
  </si>
  <si>
    <t xml:space="preserve">N° de acciones suscritas y pagadas </t>
  </si>
  <si>
    <t>RETORNO DE DIVIDENDOS</t>
  </si>
  <si>
    <t xml:space="preserve">Dividendos pagados </t>
  </si>
  <si>
    <t xml:space="preserve">Precio mercado acción </t>
  </si>
  <si>
    <t>Activo corriente</t>
  </si>
  <si>
    <t>Pasivo corriente</t>
  </si>
  <si>
    <t>ACTIVO CORRIENTE</t>
  </si>
  <si>
    <t>ACTIVO NO  CORRIENTE</t>
  </si>
  <si>
    <t>PASIVO NO CORRIENTE</t>
  </si>
  <si>
    <t>PASIVO  CORRIENTE</t>
  </si>
  <si>
    <t>PARTICIPACION MINORITARIOS</t>
  </si>
  <si>
    <t>Flujo de actividades de operaciones</t>
  </si>
  <si>
    <t>Flujo de actividades de inversión</t>
  </si>
  <si>
    <t>Flujo de actividades de financiación</t>
  </si>
  <si>
    <t>Saldo flujo de caja y efectivo</t>
  </si>
  <si>
    <t>Pasivo no corriente</t>
  </si>
  <si>
    <t xml:space="preserve"> Utilidad </t>
  </si>
  <si>
    <t>Ingresos de explotacion</t>
  </si>
  <si>
    <t>Dividendos indicar pago últimos 12 meses histórico</t>
  </si>
  <si>
    <t>Ingresos Ordinarios, Total</t>
  </si>
  <si>
    <t>Costo de Ventas</t>
  </si>
  <si>
    <t>Depreciacion  y amoritzaciones</t>
  </si>
  <si>
    <t>Depreciación y amortización</t>
  </si>
  <si>
    <t>Interes minoritarios</t>
  </si>
  <si>
    <t>Indicadores financieros</t>
  </si>
  <si>
    <t>Liquidez</t>
  </si>
  <si>
    <t>veces</t>
  </si>
  <si>
    <t>Endeudamiento</t>
  </si>
  <si>
    <t>Deuda corriente</t>
  </si>
  <si>
    <t>Deuda no corriente</t>
  </si>
  <si>
    <t>Rentabilidad</t>
  </si>
  <si>
    <t>%</t>
  </si>
  <si>
    <t>$</t>
  </si>
  <si>
    <t>Total activos</t>
  </si>
  <si>
    <t>Total pasivos</t>
  </si>
  <si>
    <t>FLUJO</t>
  </si>
  <si>
    <t>Utilidad antes de impuestos (incluye minoritario)</t>
  </si>
  <si>
    <t>Agua potable</t>
  </si>
  <si>
    <t>Aguas servidas</t>
  </si>
  <si>
    <t>Otros ingresos regulados</t>
  </si>
  <si>
    <t>Negocios no regulados</t>
  </si>
  <si>
    <t>MM$</t>
  </si>
  <si>
    <t xml:space="preserve">Total ingresos ordinarios </t>
  </si>
  <si>
    <t>Ingresos ordinarios</t>
  </si>
  <si>
    <t>Resultado de Explotacion</t>
  </si>
  <si>
    <t>Ingresos Financieros</t>
  </si>
  <si>
    <t>Costos Financieros</t>
  </si>
  <si>
    <t>Diferencia de Cambio</t>
  </si>
  <si>
    <t>Resultado por Unidades Reajustables</t>
  </si>
  <si>
    <t>Resultado Financiero</t>
  </si>
  <si>
    <t>Otros Gastos Distintos de la Operación</t>
  </si>
  <si>
    <t>Resultado antes de Impuesto</t>
  </si>
  <si>
    <t>Impuestos a las Ganancias</t>
  </si>
  <si>
    <t>Interes Minoritario</t>
  </si>
  <si>
    <t>Resultado del Ejercicio</t>
  </si>
  <si>
    <t>Estado de resultados por naturaleza</t>
  </si>
  <si>
    <t xml:space="preserve">Agua Potable </t>
  </si>
  <si>
    <t>Control</t>
  </si>
  <si>
    <t>CUADRO DE GESTION</t>
  </si>
  <si>
    <t>Ganancias en venta de activos no corrientes</t>
  </si>
  <si>
    <t>GANANCIAS  tenedores de instrumentos</t>
  </si>
  <si>
    <t>Estados de situación financiera consolidados</t>
  </si>
  <si>
    <t xml:space="preserve">Consolidado Grupo
</t>
  </si>
  <si>
    <t>Productos no regulados no sanitarios</t>
  </si>
  <si>
    <t>Patrimonio controladora</t>
  </si>
  <si>
    <t>Patrimonio promedio controladora</t>
  </si>
  <si>
    <t>Gastos por beneficios a los empleados</t>
  </si>
  <si>
    <t>Gastos por depreciación y amortización</t>
  </si>
  <si>
    <t>Otros gastos, por naturaleza</t>
  </si>
  <si>
    <t>Patrimonio atribuible a los propietarios de la controladora</t>
  </si>
  <si>
    <t>Participaciones no controladoras</t>
  </si>
  <si>
    <t>Patrimonio total</t>
  </si>
  <si>
    <t>Total de patrimonio y pasivos</t>
  </si>
  <si>
    <t xml:space="preserve">Clientes Grupo </t>
  </si>
  <si>
    <t>Interceptor Farfana - Trebal</t>
  </si>
  <si>
    <t>Ingresos financieros</t>
  </si>
  <si>
    <t>Costos financieros</t>
  </si>
  <si>
    <t>Resultado por unidades reajustables</t>
  </si>
  <si>
    <t>Resultado financiero</t>
  </si>
  <si>
    <t xml:space="preserve">Otras ganancias </t>
  </si>
  <si>
    <t>Resultado antes de impuesto</t>
  </si>
  <si>
    <t>PATRIMONIO CONTROLADORA</t>
  </si>
  <si>
    <t xml:space="preserve">Ingresos  de actividades ordinarias, total </t>
  </si>
  <si>
    <t>Materias primas y consumibles utilizados</t>
  </si>
  <si>
    <t>Reversión de pérdidas  por deterioro de valor (pérdidas por deterioro de valor)  reconocidas en el resultado del período</t>
  </si>
  <si>
    <t>Otros gastos</t>
  </si>
  <si>
    <t>Ganancia atribuible a participaciones no controladoras</t>
  </si>
  <si>
    <t>Gasto por impuesto a las ganancias</t>
  </si>
  <si>
    <t>Ganancia atribuible a los propietarios de la controladora</t>
  </si>
  <si>
    <t>Efectivo y equivalentes al efectivo al final del período</t>
  </si>
  <si>
    <t>Efectivo y equivalentes al efectivo al principio del período</t>
  </si>
  <si>
    <t>Flujos de efectivo netos utilizados en actividades de financiación</t>
  </si>
  <si>
    <t>Flujos de efectivo netos utilizados en actividades de inversión</t>
  </si>
  <si>
    <t>Flujos de efectivo netos procedentes de  actividades de operación</t>
  </si>
  <si>
    <t>Gestión y Servicios S.A.</t>
  </si>
  <si>
    <t>Acum Junio 2010</t>
  </si>
  <si>
    <t>Incremento neto en el efectivo y equivalentes al efectivo</t>
  </si>
  <si>
    <t>Indicador</t>
  </si>
  <si>
    <t>Estados de flujos de efectivo directo consolidado</t>
  </si>
  <si>
    <t>Proyecto de inversión</t>
  </si>
  <si>
    <t>Diciembre 2011</t>
  </si>
  <si>
    <t>Ingresos  de actividades ordinarias</t>
  </si>
  <si>
    <t>Diferencias de cambio</t>
  </si>
  <si>
    <t>Resultado del período</t>
  </si>
  <si>
    <t>Resultado de explotación</t>
  </si>
  <si>
    <t>Habilitación sondajes Cerro Negro</t>
  </si>
  <si>
    <t>Recolección Aguas Servidas</t>
  </si>
  <si>
    <t>Tratamiento y Disposición Aguas Servidas</t>
  </si>
  <si>
    <t>Servicios de Interconexión Aguas Servidas</t>
  </si>
  <si>
    <t>Planta de Tratamiento de Aguas Servidas Mapocho</t>
  </si>
  <si>
    <t>ACTIVOS</t>
  </si>
  <si>
    <t>Nota</t>
  </si>
  <si>
    <t>ACTIVOS CORRIENTES</t>
  </si>
  <si>
    <t>Efectivo y equivalentes al efectivo</t>
  </si>
  <si>
    <t xml:space="preserve">Otros activos financieros </t>
  </si>
  <si>
    <t>Otros activos no financieros</t>
  </si>
  <si>
    <t>Deudores comerciales y otras cuentas por cobrar</t>
  </si>
  <si>
    <t>Cuentas por cobrar a entidades relacionadas</t>
  </si>
  <si>
    <t>Inventarios</t>
  </si>
  <si>
    <t xml:space="preserve">Activos por impuestos </t>
  </si>
  <si>
    <t>Total de activos corrientes distintos de los activos o grupos de activos para su disposición clasificados como mantenidos para la venta o como mantenidos para distribuir a los propietarios</t>
  </si>
  <si>
    <t>Activos no corrientes o grupos de activos para su disposición clasificados como mantenidos para la venta</t>
  </si>
  <si>
    <t>Activos no corrientes o grupos de activos para su disposición clasificados como mantenidos para distribuir a los propietarios</t>
  </si>
  <si>
    <t>Activos no corrientes o grupos de activos para su disposición clasificados como mantenidos para la venta o como mantenidos para distribuir a los propietarios</t>
  </si>
  <si>
    <t>ACTIVOS CORRIENTES TOTALES</t>
  </si>
  <si>
    <t>ACTIVOS  NO CORRIENTES</t>
  </si>
  <si>
    <t>Otros activos financieros  no corrientes</t>
  </si>
  <si>
    <t xml:space="preserve">Otros activos no financieros </t>
  </si>
  <si>
    <t xml:space="preserve">Derechos por cobrar  </t>
  </si>
  <si>
    <t>Activos intangibles distintos de la plusvalía</t>
  </si>
  <si>
    <t>Plusvalía</t>
  </si>
  <si>
    <t>Propiedades, planta y equipo</t>
  </si>
  <si>
    <t>Activos por impuestos diferidos</t>
  </si>
  <si>
    <t>TOTAL DE ACTIVOS NO CORRIENTES</t>
  </si>
  <si>
    <t>TOTAL  ACTIVOS</t>
  </si>
  <si>
    <t>PATRIMONIO Y PASIVOS</t>
  </si>
  <si>
    <t>PASIVOS CORRIENTES</t>
  </si>
  <si>
    <t xml:space="preserve">Otros pasivos financieros </t>
  </si>
  <si>
    <t>Cuentas comerciales y otras cuentas por pagar</t>
  </si>
  <si>
    <t>Cuentas por pagar a entidades relacionadas</t>
  </si>
  <si>
    <t xml:space="preserve">Otras provisiones </t>
  </si>
  <si>
    <t>Pasivos por impuestos</t>
  </si>
  <si>
    <t>Provisiones por beneficio a los empleados</t>
  </si>
  <si>
    <t xml:space="preserve">Otros pasivos no financieros </t>
  </si>
  <si>
    <t>Total de pasivos corrientes distintos de los pasivos incluídos en  grupos de activos para su disposición clasificados como mantenidos para la venta</t>
  </si>
  <si>
    <t>Pasivos incluídos en grupos de activos para su disposción clasificados como mantenidos para la venta</t>
  </si>
  <si>
    <t>PASIVOS CORRIENTES TOTALES</t>
  </si>
  <si>
    <t>PASIVOS NO CORRIENTES</t>
  </si>
  <si>
    <t>Otras provisiones</t>
  </si>
  <si>
    <t>Pasivo por impuestos diferidos</t>
  </si>
  <si>
    <t>Otras cuentas por pagar</t>
  </si>
  <si>
    <t>Provisiones  por beneficio a los empleados</t>
  </si>
  <si>
    <t>TOTAL PASIVOS NO CORRIENTES</t>
  </si>
  <si>
    <t>TOTAL PASIVOS</t>
  </si>
  <si>
    <t xml:space="preserve">PATRIMONIO </t>
  </si>
  <si>
    <t>Capital emitido</t>
  </si>
  <si>
    <t>Ganancias acumuladas</t>
  </si>
  <si>
    <t>Primas de emisión</t>
  </si>
  <si>
    <t>Otras participaciones en el patrimonio</t>
  </si>
  <si>
    <t>PATRIMONIO TOTAL</t>
  </si>
  <si>
    <t xml:space="preserve">TOTAL PATRIMONIO Y PASIVOS </t>
  </si>
  <si>
    <t>AGUAS ANDINAS S.A. (Consolidado )</t>
  </si>
  <si>
    <t xml:space="preserve">ESTADO DE RESULTADOS POR NATURALEZA </t>
  </si>
  <si>
    <t xml:space="preserve">Estado de Resultados </t>
  </si>
  <si>
    <t>Otras ganancias (pérdidas)</t>
  </si>
  <si>
    <t xml:space="preserve">Costos Financieros </t>
  </si>
  <si>
    <t xml:space="preserve">Diferencias de Cambio </t>
  </si>
  <si>
    <t>Resultados por unidades de reajuste</t>
  </si>
  <si>
    <t>Otros Gastos distintos de los de Operación</t>
  </si>
  <si>
    <t xml:space="preserve">                  Ganancia antes de Impuesto</t>
  </si>
  <si>
    <t xml:space="preserve">      Gasto por impuesto a las ganancias</t>
  </si>
  <si>
    <t xml:space="preserve">                  Ganancia procedente de operaciones continuadas </t>
  </si>
  <si>
    <t>Ganancia</t>
  </si>
  <si>
    <t>Ganancia,  Atribuible a</t>
  </si>
  <si>
    <t>Ganancia, atribuible a los propietarios de la controladora</t>
  </si>
  <si>
    <t>Ganancia (pérdida), atribuible a participaciones no controladoras</t>
  </si>
  <si>
    <t xml:space="preserve">Ganancia </t>
  </si>
  <si>
    <t xml:space="preserve">Ganancias por acción básica </t>
  </si>
  <si>
    <t>Ganancia  por acción básica en operaciones continuadas $</t>
  </si>
  <si>
    <t>Ganancias por acción  básica ($)</t>
  </si>
  <si>
    <t>Otros Ingresos y Gastos con Cargo o Abono en el Patrimonio Neto (Presentación)</t>
  </si>
  <si>
    <t>Inversión en Empresas Relacionadas</t>
  </si>
  <si>
    <t xml:space="preserve">                Otros Ingresos y Gastos con Cargo o Abono en el Patrimonio Neto, Total</t>
  </si>
  <si>
    <t>Resultado de ingresos y gastos Integrales, Total</t>
  </si>
  <si>
    <t>Resultado de Ingresos y Gastos Integrales Atribuibles a (Presentación)</t>
  </si>
  <si>
    <t>Resultado de Ingresos y Gastos Integrales Atribuible a los Accionistas Mayoritarios</t>
  </si>
  <si>
    <t>Resultado de Ingresos y Gastos Integrales Atribuible a Participaciones Minoritarias</t>
  </si>
  <si>
    <t>Resultado de Ingresos y Gastos Integrales, Total</t>
  </si>
  <si>
    <t>ESTADO DE RESULTADOS INTEGRAL</t>
  </si>
  <si>
    <t>Resultado Integral, Total</t>
  </si>
  <si>
    <t>Resultado Integral Atribuible a</t>
  </si>
  <si>
    <t>Resultado integral atribuible a los propietarios de la controladora</t>
  </si>
  <si>
    <t>Resultado integral atribuible a participaciones no controladoras</t>
  </si>
  <si>
    <t>ESTADO DE FLUJO DE EFECTIVO DIRECTO</t>
  </si>
  <si>
    <t>NOTA</t>
  </si>
  <si>
    <t xml:space="preserve">  $</t>
  </si>
  <si>
    <t>Clases de cobros por actividades de operación</t>
  </si>
  <si>
    <t>Cobros procedentes de las ventas de bienes y prestación de servicios</t>
  </si>
  <si>
    <t>Cobros procedentes de contratos mantenidos con propósitos de intermediación o para negociar</t>
  </si>
  <si>
    <t>Cobros procedentes de regalías, cuotas, comisiones y otros ingresos de actividades ordinarias</t>
  </si>
  <si>
    <t>Cobros procedentes de primas y prestaciones, anualidades y otros beneficios de pólizas suscritas</t>
  </si>
  <si>
    <t>Otros cobros por actividades de operación</t>
  </si>
  <si>
    <t>Clases de pagos</t>
  </si>
  <si>
    <t>Pagos a proveedores por el suministro de bienes y servicios</t>
  </si>
  <si>
    <t>Pagos procedentes de contratos mantenidos para intermediación o para negociar</t>
  </si>
  <si>
    <t>Pagos a y por cuenta de los empleados</t>
  </si>
  <si>
    <t>Pagos por primas y prestaciones, anualidades y otras obligaciones derivadas de las pólizas suscritas</t>
  </si>
  <si>
    <t>Otros pagos por actividades de operación</t>
  </si>
  <si>
    <t>Dividendos pagados</t>
  </si>
  <si>
    <t>Dividendos recibidos</t>
  </si>
  <si>
    <t>Intereses pagados</t>
  </si>
  <si>
    <t>Intereses recibidos</t>
  </si>
  <si>
    <t xml:space="preserve">Impuestos a las ganancias </t>
  </si>
  <si>
    <t>Otras salidas de efectivo</t>
  </si>
  <si>
    <t>Flujos de efectivo procedentes de la pérdida de control de subsidiarias u otros negocios</t>
  </si>
  <si>
    <t>Flujos de efectivo utilizados para obtener el control de subsidiarias u otros negocios</t>
  </si>
  <si>
    <t>Flujos de efectivo utilizados en la compra de participaciones no controladoras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</si>
  <si>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</si>
  <si>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</si>
  <si>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</si>
  <si>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</si>
  <si>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Préstamos a entidades relacionadas</t>
  </si>
  <si>
    <t>Importes procedentes de la venta de propiedades, planta y equipo</t>
  </si>
  <si>
    <t>Compras de propiedades, planta y equipo</t>
  </si>
  <si>
    <t>Importes procedentes de ventas de activos intangibles</t>
  </si>
  <si>
    <t>Compras de activos intangibles</t>
  </si>
  <si>
    <t>Importes procedentes de otros activos a largo plazo</t>
  </si>
  <si>
    <t>Compras de otros activos a largo plazo</t>
  </si>
  <si>
    <t>Importes procedentes de subvenciones del gobierno</t>
  </si>
  <si>
    <t>Anticipos de efectivo y préstamos concedidos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</si>
  <si>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</si>
  <si>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</si>
  <si>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</si>
  <si>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Impuestos a las ganancias reembolsados (pagados)</t>
  </si>
  <si>
    <t>Otras entradas (salidas) de efectivo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</si>
  <si>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</si>
  <si>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</si>
  <si>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</si>
  <si>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</si>
  <si>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Importes procedentes de préstamos de largo plazo</t>
  </si>
  <si>
    <t>Importes procedentes de préstamos de corto plazo</t>
  </si>
  <si>
    <t>Total importes procedentes de préstamos</t>
  </si>
  <si>
    <t>Préstamos de entidades relacionadas</t>
  </si>
  <si>
    <t>Pagos de préstamos</t>
  </si>
  <si>
    <t>Pagos de pasivos por arrendamientos financieros</t>
  </si>
  <si>
    <t>Pagos de préstamos a entidades relacionadas</t>
  </si>
  <si>
    <t>Incremento neto en el efectivo y equivalentes al efectivo, antes del efecto de los cambios en la tasa de cambio</t>
  </si>
  <si>
    <t>Efectos de la variación en la tasa de cambio sobre el efectivo y equivalentes al efectivo</t>
  </si>
  <si>
    <t>Incremento  neto de efectivo y equivalentes al efectivo</t>
  </si>
  <si>
    <t>Plataforma externa para manejo y disposición de lodos</t>
  </si>
  <si>
    <t xml:space="preserve">Pérdidas por deterioro de valor </t>
  </si>
  <si>
    <r>
      <t>Volúmenes de ventas Grupo
(valores en miles de m</t>
    </r>
    <r>
      <rPr>
        <b/>
        <vertAlign val="superscript"/>
        <sz val="10"/>
        <rFont val="Tahoma"/>
        <family val="2"/>
      </rPr>
      <t>3</t>
    </r>
    <r>
      <rPr>
        <b/>
        <sz val="10"/>
        <rFont val="Tahoma"/>
        <family val="2"/>
      </rPr>
      <t xml:space="preserve"> facturados)</t>
    </r>
  </si>
  <si>
    <t>EcoRiles S.A.</t>
  </si>
  <si>
    <t>Estado de Resultado</t>
  </si>
  <si>
    <t>01-07-2012            30-09-2012</t>
  </si>
  <si>
    <t>01-07-2011            30-09-2011</t>
  </si>
  <si>
    <t>Acum Sep 2012 (MM$)</t>
  </si>
  <si>
    <t>11-13</t>
  </si>
  <si>
    <t>14</t>
  </si>
  <si>
    <t>7</t>
  </si>
  <si>
    <t>Ejercicio 2012</t>
  </si>
  <si>
    <t>Diciembre 2012</t>
  </si>
  <si>
    <t>Diciembre
2012</t>
  </si>
  <si>
    <t>Compra de agua</t>
  </si>
  <si>
    <t>Variacion</t>
  </si>
  <si>
    <t>Aguas del Maipo S.A.</t>
  </si>
  <si>
    <t>Estanque Salida Complejo Vizcachas</t>
  </si>
  <si>
    <t>Extensión y Renovación de Redes de Aguas Servidas</t>
  </si>
  <si>
    <t>Proyecto de Conexión de Agua El Yeso Azulillos (CAYA)</t>
  </si>
  <si>
    <t>Proyectos de inversión</t>
  </si>
  <si>
    <t>Mes de pago: abril 12</t>
  </si>
  <si>
    <t>Mes de pago: nov 12</t>
  </si>
  <si>
    <t>Mes de pago: abril 13</t>
  </si>
  <si>
    <t>Dic 2011 - Dic 2012</t>
  </si>
  <si>
    <t>Ingresos Ordinarios</t>
  </si>
  <si>
    <t>Desviación</t>
  </si>
  <si>
    <t>Agua Potable</t>
  </si>
  <si>
    <t>Aguas Servidas</t>
  </si>
  <si>
    <t>Otros Ingresos Regulados</t>
  </si>
  <si>
    <t>Negocios No Regulados</t>
  </si>
  <si>
    <t>Total Ingresos Ordinarios</t>
  </si>
  <si>
    <t>Ingresos No Sanitarios</t>
  </si>
  <si>
    <t>Empresas</t>
  </si>
  <si>
    <t>GyS</t>
  </si>
  <si>
    <t>ANAM</t>
  </si>
  <si>
    <t>Aguas del Maipo</t>
  </si>
  <si>
    <t>Negocios No regulados No Sanitario</t>
  </si>
  <si>
    <t>Análisis Ambientales S.A.</t>
  </si>
  <si>
    <r>
      <t xml:space="preserve">Liquidez corriente </t>
    </r>
    <r>
      <rPr>
        <sz val="8"/>
        <rFont val="Tahoma"/>
        <family val="2"/>
      </rPr>
      <t>(1)</t>
    </r>
  </si>
  <si>
    <r>
      <t xml:space="preserve">Razón ácida </t>
    </r>
    <r>
      <rPr>
        <sz val="8"/>
        <rFont val="Tahoma"/>
        <family val="2"/>
      </rPr>
      <t>(2)</t>
    </r>
  </si>
  <si>
    <r>
      <t xml:space="preserve">Endeudamiento total </t>
    </r>
    <r>
      <rPr>
        <sz val="8"/>
        <rFont val="Tahoma"/>
        <family val="2"/>
      </rPr>
      <t>(3)</t>
    </r>
  </si>
  <si>
    <r>
      <t xml:space="preserve">Rentabilidad del patrimonio atribuible a los propietarios de la controladora anualizada </t>
    </r>
    <r>
      <rPr>
        <sz val="8"/>
        <rFont val="Tahoma"/>
        <family val="2"/>
      </rPr>
      <t>(5)</t>
    </r>
  </si>
  <si>
    <r>
      <t xml:space="preserve">Rentabilidad activos anualizada </t>
    </r>
    <r>
      <rPr>
        <sz val="8"/>
        <rFont val="Tahoma"/>
        <family val="2"/>
      </rPr>
      <t>(6)</t>
    </r>
  </si>
  <si>
    <r>
      <t xml:space="preserve">Utilidad por acción anualizada </t>
    </r>
    <r>
      <rPr>
        <sz val="8"/>
        <rFont val="Tahoma"/>
        <family val="2"/>
      </rPr>
      <t>(7)</t>
    </r>
  </si>
  <si>
    <r>
      <t xml:space="preserve">Retorno de dividendos </t>
    </r>
    <r>
      <rPr>
        <sz val="8"/>
        <rFont val="Tahoma"/>
        <family val="2"/>
      </rPr>
      <t>(8)</t>
    </r>
  </si>
  <si>
    <r>
      <t xml:space="preserve">Cobertura gastos financieros anualizado </t>
    </r>
    <r>
      <rPr>
        <sz val="8"/>
        <rFont val="Tahoma"/>
        <family val="2"/>
      </rPr>
      <t>(4)</t>
    </r>
  </si>
  <si>
    <t>Periodo Sep 2012 - Sep 2013</t>
  </si>
  <si>
    <t>Acum Septiembre 2012</t>
  </si>
  <si>
    <t>Acum Septiembre 2013</t>
  </si>
  <si>
    <t>ok</t>
  </si>
  <si>
    <t>Mes de pago: nov 13</t>
  </si>
  <si>
    <t>Análisis Razonado</t>
  </si>
  <si>
    <t>RESULTADO POR NATURALEZA</t>
  </si>
  <si>
    <t>EcoRiles</t>
  </si>
  <si>
    <t>Aguas Andinas S.A.:</t>
  </si>
  <si>
    <t>Grupo 2                       </t>
  </si>
  <si>
    <t>Aguas Manquehue S.A.:</t>
  </si>
  <si>
    <t>Essal S.A.:</t>
  </si>
  <si>
    <t xml:space="preserve">Grupo 1                         </t>
  </si>
  <si>
    <t xml:space="preserve">Rinconada de Maipú       </t>
  </si>
  <si>
    <t>Santa María                  </t>
  </si>
  <si>
    <t xml:space="preserve">Chicureo                        </t>
  </si>
  <si>
    <t>Chamisero                     </t>
  </si>
  <si>
    <t>Julio 2012</t>
  </si>
  <si>
    <t>Valle Grande 3               </t>
  </si>
  <si>
    <t>Grupo 1                         </t>
  </si>
  <si>
    <t>Grupo 2                         </t>
  </si>
  <si>
    <t>Grupo 3                         </t>
  </si>
  <si>
    <t>Chinquihue                   </t>
  </si>
  <si>
    <t xml:space="preserve">Los Alerces                   </t>
  </si>
  <si>
    <t>Julio 2013</t>
  </si>
  <si>
    <t>Abril 2013</t>
  </si>
  <si>
    <t>Diciembre 2013</t>
  </si>
  <si>
    <t>Dic 2012 - Dic 2013</t>
  </si>
  <si>
    <t>OTRO RESULTADO INTEGRAL</t>
  </si>
  <si>
    <t>Componentes de otro resultado integral que no se reclasificarán al resultado del periodo, antes de impuestos</t>
  </si>
  <si>
    <t>Ganancias (pérdidas) actuariales por planes de beneficios definidos</t>
  </si>
  <si>
    <t>Otro resultado integral que no se reclasificará al resultado del período</t>
  </si>
  <si>
    <t>Acum Dic 2013 (MM$)</t>
  </si>
  <si>
    <t>Diciembre
2013</t>
  </si>
  <si>
    <t>Variación 
Dic 13 - Dic 12</t>
  </si>
  <si>
    <t>Inversiones Aguas Metropolitanas Consolidado</t>
  </si>
  <si>
    <t>Estado de Resultados (MM$)</t>
  </si>
  <si>
    <t>% Var.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</si>
  <si>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</si>
  <si>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</si>
  <si>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</si>
  <si>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</si>
  <si>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</si>
  <si>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</si>
  <si>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Variación</t>
  </si>
  <si>
    <t>Ventas</t>
  </si>
  <si>
    <t>Participación</t>
  </si>
  <si>
    <t>Total</t>
  </si>
  <si>
    <t>Septiembre 2013</t>
  </si>
  <si>
    <t>Agosto 2013</t>
  </si>
  <si>
    <r>
      <t>Aguas Cordillera S.A.:</t>
    </r>
    <r>
      <rPr>
        <sz val="10"/>
        <color rgb="FF002060"/>
        <rFont val="Tahoma"/>
        <family val="2"/>
      </rPr>
      <t xml:space="preserve"> </t>
    </r>
  </si>
  <si>
    <t>4T13</t>
  </si>
  <si>
    <t>4T12</t>
  </si>
  <si>
    <t>4T13 / 4T12</t>
  </si>
  <si>
    <t>Trimestral</t>
  </si>
  <si>
    <t>Otras ganancias</t>
  </si>
  <si>
    <t xml:space="preserve">Costos financieros </t>
  </si>
  <si>
    <t xml:space="preserve">Diferencias de cambio </t>
  </si>
  <si>
    <t xml:space="preserve">                  Ganancia antes de impuestos</t>
  </si>
  <si>
    <t xml:space="preserve">      Gasto por impuestos a las ganancias</t>
  </si>
  <si>
    <t xml:space="preserve">                  Ganancia procedente de operaciones continuadas</t>
  </si>
  <si>
    <t>Ganancia atribuible a</t>
  </si>
  <si>
    <t>4T 2013</t>
  </si>
  <si>
    <t>4T 2012</t>
  </si>
  <si>
    <t>(MM$)</t>
  </si>
  <si>
    <t>Var. %</t>
  </si>
  <si>
    <t xml:space="preserve">Gestión y Servicios S.A. </t>
  </si>
  <si>
    <t>Anam S.A.</t>
  </si>
  <si>
    <t> Total</t>
  </si>
  <si>
    <t>UF</t>
  </si>
  <si>
    <t>Dec. 13</t>
  </si>
  <si>
    <t>Dec. 12</t>
  </si>
  <si>
    <t>Difference</t>
  </si>
  <si>
    <t>Variation</t>
  </si>
  <si>
    <t>Revenues</t>
  </si>
  <si>
    <t>Operating Costs &amp; Expenses</t>
  </si>
  <si>
    <t>D&amp;A</t>
  </si>
  <si>
    <t>Operating Income (EBIT)</t>
  </si>
  <si>
    <t>Net Income</t>
  </si>
  <si>
    <t>Potable Water</t>
  </si>
  <si>
    <t>Sewage</t>
  </si>
  <si>
    <t>Other Regulated Revenue</t>
  </si>
  <si>
    <t>Non-Regulated Revenue</t>
  </si>
  <si>
    <t>Sales Volume (Th. m3)</t>
  </si>
  <si>
    <t>Sewage Collection</t>
  </si>
  <si>
    <t>Sewage Treatment &amp; Disposal</t>
  </si>
  <si>
    <t>Customers</t>
  </si>
  <si>
    <t>1.     Balance Sheet</t>
  </si>
  <si>
    <t>Assets</t>
  </si>
  <si>
    <t>Current Assets</t>
  </si>
  <si>
    <t>Long-Term Assets</t>
  </si>
  <si>
    <t>Total Assets</t>
  </si>
  <si>
    <t>Liabilities &amp; Shareholder’s Equity</t>
  </si>
  <si>
    <t>Current Liabilities</t>
  </si>
  <si>
    <t>Long-Term Liabilities</t>
  </si>
  <si>
    <t>Total Liabilities</t>
  </si>
  <si>
    <t>Shareholder’s Equity</t>
  </si>
  <si>
    <t>Minority Interest</t>
  </si>
  <si>
    <t>Total Shareholder’s Equity</t>
  </si>
  <si>
    <t>Total Liabilities &amp; Shareholder’s Equity</t>
  </si>
  <si>
    <t>Investments (MM$)</t>
  </si>
  <si>
    <t>Storage Tank - Las Vizcachas Production Plant</t>
  </si>
  <si>
    <t>Laguna Negra Aqueduct Connection - El Yeso</t>
  </si>
  <si>
    <t>Expansion and Maintenance of Sewage Network</t>
  </si>
  <si>
    <t> Currency</t>
  </si>
  <si>
    <t>1 - 12 months</t>
  </si>
  <si>
    <t>1 - 3 years</t>
  </si>
  <si>
    <t>3 - 5 years</t>
  </si>
  <si>
    <t>more than 5 years</t>
  </si>
  <si>
    <t>Bonds</t>
  </si>
  <si>
    <t>Bank Debt</t>
  </si>
  <si>
    <t>Promissory Notes</t>
  </si>
  <si>
    <t>Cash Flow Statement (Ch$ millions)</t>
  </si>
  <si>
    <t>Net Cash Flow from Operating Activities</t>
  </si>
  <si>
    <t>Net Cash Flow from Investing Activities</t>
  </si>
  <si>
    <t>Net Cash Flow from Financing Activities</t>
  </si>
  <si>
    <t>Total Net Cash Flow for the Period</t>
  </si>
  <si>
    <t>Closing Balance of Cash &amp; Cash Equivalents</t>
  </si>
  <si>
    <t>Liquidity</t>
  </si>
  <si>
    <t>Current Ratio</t>
  </si>
  <si>
    <t>times</t>
  </si>
  <si>
    <t>Acid Test Ratio</t>
  </si>
  <si>
    <t>Leverage</t>
  </si>
  <si>
    <t>Total Leverage</t>
  </si>
  <si>
    <t>Current Leverage</t>
  </si>
  <si>
    <t>Long-term Leverage</t>
  </si>
  <si>
    <t>Interest Coverage Ratio</t>
  </si>
  <si>
    <t>Return</t>
  </si>
  <si>
    <t>ROE</t>
  </si>
  <si>
    <t>ROA</t>
  </si>
  <si>
    <t>Earnings Per Share</t>
  </si>
  <si>
    <t>Ch$</t>
  </si>
  <si>
    <t>Dividend Yield*</t>
  </si>
  <si>
    <t xml:space="preserve">Group 1                     </t>
  </si>
  <si>
    <t xml:space="preserve">Group 2                    </t>
  </si>
  <si>
    <t>September 2013</t>
  </si>
  <si>
    <t>July 2012</t>
  </si>
  <si>
    <t>July 2013</t>
  </si>
  <si>
    <t>August 2013</t>
  </si>
  <si>
    <t>December 2013</t>
  </si>
  <si>
    <t>April 2013</t>
  </si>
  <si>
    <t>Group 1                         </t>
  </si>
  <si>
    <t>Group 2                         </t>
  </si>
  <si>
    <t>Group 3                         </t>
  </si>
  <si>
    <t>Income  Statement (Ch$ millions)</t>
  </si>
  <si>
    <t>Financial Result*</t>
  </si>
  <si>
    <t>Promissory notes</t>
  </si>
  <si>
    <t xml:space="preserve">Variable Rate </t>
  </si>
  <si>
    <t>Fixed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</si>
</sst>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_(* #,##0.00_);_(* \(#,##0.00\);_(* &quot;-&quot;??_);_(@_)"/>
    <numFmt numFmtId="165" formatCode="_-* #,##0.00\ _€_-;\-* #,##0.00\ _€_-;_-* &quot;-&quot;??\ _€_-;_-@_-"/>
    <numFmt numFmtId="166" formatCode="_-* #,##0.00\ _P_t_s_-;\-* #,##0.00\ _P_t_s_-;_-* &quot;-&quot;??\ _P_t_s_-;_-@_-"/>
    <numFmt numFmtId="167" formatCode="_-* #,##0_-;\-* #,##0_-;_-* &quot;-&quot;??_-;_-@_-"/>
    <numFmt numFmtId="168" formatCode="#,##0;[Red]\(#,##0\)"/>
    <numFmt numFmtId="169" formatCode="##,##0.00;[Red]\(##,##0.00\)"/>
    <numFmt numFmtId="170" formatCode="#,##0.000;[Red]\(#,##0.000\)"/>
    <numFmt numFmtId="171" formatCode="#,##0.00;[Red]\(#,##0.00\)"/>
    <numFmt numFmtId="172" formatCode="#,##0.00;[Red]#,##0.00"/>
    <numFmt numFmtId="173" formatCode="#,##0.0;[Red]\(#,##0.0\)"/>
    <numFmt numFmtId="174" formatCode="_-* #,##0\ _P_t_s_-;\-* #,##0\ _P_t_s_-;_-* &quot;-&quot;??\ _P_t_s_-;_-@_-"/>
    <numFmt numFmtId="175" formatCode="_-* #,##0.000_-;\-* #,##0.000_-;_-* &quot;-&quot;??_-;_-@_-"/>
    <numFmt numFmtId="176" formatCode="_-* #,##0.000000_-;\-* #,##0.000000_-;_-* &quot;-&quot;??????_-;_-@_-"/>
    <numFmt numFmtId="177" formatCode="_-* #,##0.0000_-;\-* #,##0.0000_-;_-* &quot;-&quot;??_-;_-@_-"/>
    <numFmt numFmtId="178" formatCode="_-* #,##0.000\ _P_t_s_-;\-* #,##0.000\ _P_t_s_-;_-* &quot;-&quot;??\ _P_t_s_-;_-@_-"/>
    <numFmt numFmtId="179" formatCode="_-* #,##0.0000\ _P_t_s_-;\-* #,##0.0000\ _P_t_s_-;_-* &quot;-&quot;??\ _P_t_s_-;_-@_-"/>
    <numFmt numFmtId="180" formatCode="0.00000"/>
    <numFmt numFmtId="181" formatCode="0.0000"/>
    <numFmt numFmtId="182" formatCode="0.000"/>
    <numFmt numFmtId="183" formatCode="_-* #,##0.000_-;\-* #,##0.000_-;_-* &quot;-&quot;???_-;_-@_-"/>
    <numFmt numFmtId="184" formatCode="##,##0;\(##,##0\)"/>
    <numFmt numFmtId="185" formatCode="0.0000%"/>
    <numFmt numFmtId="186" formatCode="0.0%"/>
    <numFmt numFmtId="187" formatCode="#,##0;\(\ #,##0\)"/>
    <numFmt numFmtId="188" formatCode="#,##0;\(\ \ #,##0\)"/>
    <numFmt numFmtId="189" formatCode="dd\-mm\-yyyy"/>
    <numFmt numFmtId="190" formatCode="d\-m\-yyyy"/>
    <numFmt numFmtId="191" formatCode="_-* #,##0.00\ &quot;DM&quot;_-;\-* #,##0.00\ &quot;DM&quot;_-;_-* &quot;-&quot;??\ &quot;DM&quot;_-;_-@_-"/>
    <numFmt numFmtId="192" formatCode="_-* #,##0.00\ [$€]_-;\-* #,##0.00\ [$€]_-;_-* &quot;-&quot;??\ [$€]_-;_-@_-"/>
    <numFmt numFmtId="193" formatCode="_-* #,##0\ _D_M_-;\-* #,##0\ _D_M_-;_-* &quot;-&quot;\ _D_M_-;_-@_-"/>
    <numFmt numFmtId="194" formatCode="_-* #,##0.00\ _D_M_-;\-* #,##0.00\ _D_M_-;_-* &quot;-&quot;??\ _D_M_-;_-@_-"/>
    <numFmt numFmtId="195" formatCode="_-* #,##0\ &quot;DM&quot;_-;\-* #,##0\ &quot;DM&quot;_-;_-* &quot;-&quot;\ &quot;DM&quot;_-;_-@_-"/>
    <numFmt numFmtId="196" formatCode="#,##0.000"/>
  </numFmts>
  <fonts count="105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vertAlign val="superscript"/>
      <sz val="10"/>
      <name val="Tahoma"/>
      <family val="2"/>
    </font>
    <font>
      <i/>
      <sz val="10"/>
      <name val="Tahoma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0"/>
      <color indexed="10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8"/>
      <color theme="0"/>
      <name val="Arial"/>
      <family val="2"/>
    </font>
    <font>
      <sz val="10"/>
      <color rgb="FFFF0000"/>
      <name val="Tahoma"/>
      <family val="2"/>
    </font>
    <font>
      <sz val="12"/>
      <color rgb="FF000000"/>
      <name val="Times New Roman"/>
      <family val="1"/>
    </font>
    <font>
      <sz val="8"/>
      <name val="Tahoma"/>
      <family val="2"/>
    </font>
    <font>
      <b/>
      <sz val="7"/>
      <name val="Tahoma"/>
      <family val="2"/>
    </font>
    <font>
      <sz val="7"/>
      <name val="Tahoma"/>
      <family val="2"/>
    </font>
    <font>
      <b/>
      <sz val="6"/>
      <name val="Tahoma"/>
      <family val="2"/>
    </font>
    <font>
      <b/>
      <sz val="8"/>
      <name val="Tahoma"/>
      <family val="2"/>
    </font>
    <font>
      <sz val="8"/>
      <name val="Verdana"/>
      <family val="2"/>
    </font>
    <font>
      <sz val="8"/>
      <color indexed="20"/>
      <name val="Arial"/>
      <family val="2"/>
    </font>
    <font>
      <b/>
      <sz val="8"/>
      <color theme="0"/>
      <name val="Arial"/>
      <family val="2"/>
    </font>
    <font>
      <sz val="8"/>
      <color indexed="12"/>
      <name val="Arial"/>
      <family val="2"/>
    </font>
    <font>
      <u/>
      <sz val="8"/>
      <name val="Arial"/>
      <family val="2"/>
    </font>
    <font>
      <b/>
      <sz val="8"/>
      <color indexed="20"/>
      <name val="Arial"/>
      <family val="2"/>
    </font>
    <font>
      <b/>
      <sz val="8"/>
      <color indexed="62"/>
      <name val="Arial"/>
      <family val="2"/>
    </font>
    <font>
      <b/>
      <sz val="8"/>
      <color indexed="1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i/>
      <sz val="10"/>
      <name val="Tahoma"/>
      <family val="2"/>
    </font>
    <font>
      <sz val="10"/>
      <color rgb="FF000000"/>
      <name val="Tahoma"/>
      <family val="2"/>
    </font>
    <font>
      <sz val="10"/>
      <name val="Arial Narrow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Tahoma"/>
      <family val="2"/>
    </font>
    <font>
      <sz val="10"/>
      <color rgb="FF002060"/>
      <name val="Tahoma"/>
      <family val="2"/>
    </font>
    <font>
      <b/>
      <u/>
      <sz val="9"/>
      <color rgb="FF002060"/>
      <name val="Arial"/>
      <family val="2"/>
    </font>
    <font>
      <sz val="9"/>
      <name val="Arial"/>
      <family val="2"/>
    </font>
    <font>
      <sz val="9"/>
      <name val="Calibri"/>
      <family val="2"/>
    </font>
    <font>
      <sz val="9"/>
      <name val="Times New Roman"/>
      <family val="1"/>
    </font>
    <font>
      <sz val="11"/>
      <name val="Calibri"/>
      <family val="2"/>
    </font>
    <font>
      <sz val="12"/>
      <name val="Times New Roman"/>
      <family val="1"/>
    </font>
    <font>
      <b/>
      <sz val="10"/>
      <color rgb="FF002060"/>
      <name val="Arial"/>
      <family val="2"/>
    </font>
    <font>
      <sz val="10"/>
      <name val="Times New Roman"/>
      <family val="1"/>
    </font>
  </fonts>
  <fills count="10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DDDDDD"/>
        <bgColor indexed="64"/>
      </patternFill>
    </fill>
    <fill>
      <patternFill patternType="solid">
        <fgColor rgb="FFFFAB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AEAEA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/>
      <diagonal/>
    </border>
    <border>
      <left style="thin">
        <color indexed="64"/>
      </left>
      <right style="medium">
        <color indexed="55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/>
      <top style="medium">
        <color indexed="55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FF9900"/>
      </left>
      <right/>
      <top style="medium">
        <color rgb="FFFF9900"/>
      </top>
      <bottom/>
      <diagonal/>
    </border>
    <border>
      <left/>
      <right/>
      <top style="medium">
        <color rgb="FFFF9900"/>
      </top>
      <bottom/>
      <diagonal/>
    </border>
    <border>
      <left/>
      <right style="medium">
        <color rgb="FFFF9900"/>
      </right>
      <top style="medium">
        <color rgb="FFFF9900"/>
      </top>
      <bottom/>
      <diagonal/>
    </border>
    <border>
      <left style="medium">
        <color rgb="FFFF9900"/>
      </left>
      <right style="medium">
        <color rgb="FFFF9900"/>
      </right>
      <top style="medium">
        <color rgb="FFFF9900"/>
      </top>
      <bottom/>
      <diagonal/>
    </border>
    <border>
      <left/>
      <right style="medium">
        <color rgb="FFFF9900"/>
      </right>
      <top/>
      <bottom/>
      <diagonal/>
    </border>
    <border>
      <left style="medium">
        <color rgb="FFFF9900"/>
      </left>
      <right style="medium">
        <color rgb="FFFF9900"/>
      </right>
      <top/>
      <bottom/>
      <diagonal/>
    </border>
    <border>
      <left style="medium">
        <color rgb="FFFF9900"/>
      </left>
      <right style="medium">
        <color rgb="FFFF9900"/>
      </right>
      <top/>
      <bottom style="medium">
        <color rgb="FFFF9900"/>
      </bottom>
      <diagonal/>
    </border>
    <border>
      <left/>
      <right/>
      <top/>
      <bottom style="medium">
        <color rgb="FFFF9900"/>
      </bottom>
      <diagonal/>
    </border>
    <border>
      <left/>
      <right style="medium">
        <color rgb="FFFF9900"/>
      </right>
      <top/>
      <bottom style="medium">
        <color rgb="FFFF99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medium">
        <color theme="0" tint="-0.34998626667073579"/>
      </left>
      <right/>
      <top style="medium">
        <color indexed="55"/>
      </top>
      <bottom style="medium">
        <color indexed="55"/>
      </bottom>
      <diagonal/>
    </border>
    <border>
      <left style="medium">
        <color theme="0" tint="-0.34998626667073579"/>
      </left>
      <right style="medium">
        <color indexed="55"/>
      </right>
      <top style="medium">
        <color theme="0" tint="-0.34998626667073579"/>
      </top>
      <bottom/>
      <diagonal/>
    </border>
    <border>
      <left style="medium">
        <color indexed="55"/>
      </left>
      <right style="medium">
        <color indexed="55"/>
      </right>
      <top style="medium">
        <color theme="0" tint="-0.34998626667073579"/>
      </top>
      <bottom/>
      <diagonal/>
    </border>
    <border>
      <left style="medium">
        <color indexed="55"/>
      </left>
      <right style="medium">
        <color indexed="55"/>
      </right>
      <top style="medium">
        <color theme="0" tint="-0.34998626667073579"/>
      </top>
      <bottom style="medium">
        <color indexed="55"/>
      </bottom>
      <diagonal/>
    </border>
    <border>
      <left style="medium">
        <color indexed="55"/>
      </left>
      <right style="medium">
        <color theme="0" tint="-0.34998626667073579"/>
      </right>
      <top style="medium">
        <color theme="0" tint="-0.34998626667073579"/>
      </top>
      <bottom style="medium">
        <color indexed="55"/>
      </bottom>
      <diagonal/>
    </border>
    <border>
      <left style="medium">
        <color theme="0" tint="-0.34998626667073579"/>
      </left>
      <right style="medium">
        <color indexed="55"/>
      </right>
      <top/>
      <bottom style="medium">
        <color indexed="55"/>
      </bottom>
      <diagonal/>
    </border>
    <border>
      <left style="medium">
        <color indexed="55"/>
      </left>
      <right style="medium">
        <color theme="0" tint="-0.34998626667073579"/>
      </right>
      <top style="medium">
        <color indexed="55"/>
      </top>
      <bottom style="medium">
        <color indexed="55"/>
      </bottom>
      <diagonal/>
    </border>
    <border>
      <left/>
      <right style="medium">
        <color theme="0" tint="-0.34998626667073579"/>
      </right>
      <top style="medium">
        <color indexed="55"/>
      </top>
      <bottom style="medium">
        <color indexed="55"/>
      </bottom>
      <diagonal/>
    </border>
    <border>
      <left style="medium">
        <color theme="0" tint="-0.34998626667073579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indexed="55"/>
      </bottom>
      <diagonal/>
    </border>
    <border>
      <left style="medium">
        <color theme="0" tint="-0.34998626667073579"/>
      </left>
      <right style="medium">
        <color indexed="55"/>
      </right>
      <top style="medium">
        <color indexed="55"/>
      </top>
      <bottom style="medium">
        <color theme="0" tint="-0.34998626667073579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theme="0" tint="-0.34998626667073579"/>
      </bottom>
      <diagonal/>
    </border>
    <border>
      <left style="medium">
        <color indexed="55"/>
      </left>
      <right style="medium">
        <color theme="0" tint="-0.34998626667073579"/>
      </right>
      <top style="medium">
        <color indexed="55"/>
      </top>
      <bottom style="medium">
        <color theme="0" tint="-0.34998626667073579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</borders>
  <cellStyleXfs count="169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5" fillId="8" borderId="0" applyNumberFormat="0" applyBorder="0" applyAlignment="0" applyProtection="0"/>
    <xf numFmtId="0" fontId="66" fillId="77" borderId="0" applyNumberFormat="0" applyBorder="0" applyAlignment="0" applyProtection="0"/>
    <xf numFmtId="0" fontId="67" fillId="77" borderId="0" applyNumberFormat="0" applyBorder="0" applyAlignment="0" applyProtection="0"/>
    <xf numFmtId="0" fontId="5" fillId="9" borderId="0" applyNumberFormat="0" applyBorder="0" applyAlignment="0" applyProtection="0"/>
    <xf numFmtId="0" fontId="66" fillId="78" borderId="0" applyNumberFormat="0" applyBorder="0" applyAlignment="0" applyProtection="0"/>
    <xf numFmtId="0" fontId="67" fillId="78" borderId="0" applyNumberFormat="0" applyBorder="0" applyAlignment="0" applyProtection="0"/>
    <xf numFmtId="0" fontId="5" fillId="10" borderId="0" applyNumberFormat="0" applyBorder="0" applyAlignment="0" applyProtection="0"/>
    <xf numFmtId="0" fontId="66" fillId="79" borderId="0" applyNumberFormat="0" applyBorder="0" applyAlignment="0" applyProtection="0"/>
    <xf numFmtId="0" fontId="67" fillId="79" borderId="0" applyNumberFormat="0" applyBorder="0" applyAlignment="0" applyProtection="0"/>
    <xf numFmtId="0" fontId="5" fillId="11" borderId="0" applyNumberFormat="0" applyBorder="0" applyAlignment="0" applyProtection="0"/>
    <xf numFmtId="0" fontId="66" fillId="80" borderId="0" applyNumberFormat="0" applyBorder="0" applyAlignment="0" applyProtection="0"/>
    <xf numFmtId="0" fontId="67" fillId="80" borderId="0" applyNumberFormat="0" applyBorder="0" applyAlignment="0" applyProtection="0"/>
    <xf numFmtId="0" fontId="5" fillId="12" borderId="0" applyNumberFormat="0" applyBorder="0" applyAlignment="0" applyProtection="0"/>
    <xf numFmtId="0" fontId="66" fillId="81" borderId="0" applyNumberFormat="0" applyBorder="0" applyAlignment="0" applyProtection="0"/>
    <xf numFmtId="0" fontId="67" fillId="81" borderId="0" applyNumberFormat="0" applyBorder="0" applyAlignment="0" applyProtection="0"/>
    <xf numFmtId="0" fontId="5" fillId="3" borderId="0" applyNumberFormat="0" applyBorder="0" applyAlignment="0" applyProtection="0"/>
    <xf numFmtId="0" fontId="66" fillId="82" borderId="0" applyNumberFormat="0" applyBorder="0" applyAlignment="0" applyProtection="0"/>
    <xf numFmtId="0" fontId="67" fillId="82" borderId="0" applyNumberFormat="0" applyBorder="0" applyAlignment="0" applyProtection="0"/>
    <xf numFmtId="0" fontId="37" fillId="12" borderId="0" applyNumberFormat="0" applyBorder="0" applyAlignment="0" applyProtection="0"/>
    <xf numFmtId="0" fontId="37" fillId="9" borderId="0" applyNumberFormat="0" applyBorder="0" applyAlignment="0" applyProtection="0"/>
    <xf numFmtId="0" fontId="37" fillId="13" borderId="0" applyNumberFormat="0" applyBorder="0" applyAlignment="0" applyProtection="0"/>
    <xf numFmtId="0" fontId="37" fillId="5" borderId="0" applyNumberFormat="0" applyBorder="0" applyAlignment="0" applyProtection="0"/>
    <xf numFmtId="0" fontId="37" fillId="12" borderId="0" applyNumberFormat="0" applyBorder="0" applyAlignment="0" applyProtection="0"/>
    <xf numFmtId="0" fontId="37" fillId="14" borderId="0" applyNumberFormat="0" applyBorder="0" applyAlignment="0" applyProtection="0"/>
    <xf numFmtId="0" fontId="37" fillId="12" borderId="0" applyNumberFormat="0" applyBorder="0" applyAlignment="0" applyProtection="0"/>
    <xf numFmtId="0" fontId="37" fillId="9" borderId="0" applyNumberFormat="0" applyBorder="0" applyAlignment="0" applyProtection="0"/>
    <xf numFmtId="0" fontId="37" fillId="13" borderId="0" applyNumberFormat="0" applyBorder="0" applyAlignment="0" applyProtection="0"/>
    <xf numFmtId="0" fontId="37" fillId="5" borderId="0" applyNumberFormat="0" applyBorder="0" applyAlignment="0" applyProtection="0"/>
    <xf numFmtId="0" fontId="37" fillId="12" borderId="0" applyNumberFormat="0" applyBorder="0" applyAlignment="0" applyProtection="0"/>
    <xf numFmtId="0" fontId="37" fillId="14" borderId="0" applyNumberFormat="0" applyBorder="0" applyAlignment="0" applyProtection="0"/>
    <xf numFmtId="0" fontId="5" fillId="15" borderId="0" applyNumberFormat="0" applyBorder="0" applyAlignment="0" applyProtection="0"/>
    <xf numFmtId="0" fontId="66" fillId="83" borderId="0" applyNumberFormat="0" applyBorder="0" applyAlignment="0" applyProtection="0"/>
    <xf numFmtId="0" fontId="67" fillId="83" borderId="0" applyNumberFormat="0" applyBorder="0" applyAlignment="0" applyProtection="0"/>
    <xf numFmtId="0" fontId="5" fillId="9" borderId="0" applyNumberFormat="0" applyBorder="0" applyAlignment="0" applyProtection="0"/>
    <xf numFmtId="0" fontId="66" fillId="84" borderId="0" applyNumberFormat="0" applyBorder="0" applyAlignment="0" applyProtection="0"/>
    <xf numFmtId="0" fontId="67" fillId="84" borderId="0" applyNumberFormat="0" applyBorder="0" applyAlignment="0" applyProtection="0"/>
    <xf numFmtId="0" fontId="5" fillId="16" borderId="0" applyNumberFormat="0" applyBorder="0" applyAlignment="0" applyProtection="0"/>
    <xf numFmtId="0" fontId="66" fillId="85" borderId="0" applyNumberFormat="0" applyBorder="0" applyAlignment="0" applyProtection="0"/>
    <xf numFmtId="0" fontId="67" fillId="85" borderId="0" applyNumberFormat="0" applyBorder="0" applyAlignment="0" applyProtection="0"/>
    <xf numFmtId="0" fontId="5" fillId="17" borderId="0" applyNumberFormat="0" applyBorder="0" applyAlignment="0" applyProtection="0"/>
    <xf numFmtId="0" fontId="66" fillId="86" borderId="0" applyNumberFormat="0" applyBorder="0" applyAlignment="0" applyProtection="0"/>
    <xf numFmtId="0" fontId="67" fillId="86" borderId="0" applyNumberFormat="0" applyBorder="0" applyAlignment="0" applyProtection="0"/>
    <xf numFmtId="0" fontId="5" fillId="15" borderId="0" applyNumberFormat="0" applyBorder="0" applyAlignment="0" applyProtection="0"/>
    <xf numFmtId="0" fontId="66" fillId="87" borderId="0" applyNumberFormat="0" applyBorder="0" applyAlignment="0" applyProtection="0"/>
    <xf numFmtId="0" fontId="67" fillId="87" borderId="0" applyNumberFormat="0" applyBorder="0" applyAlignment="0" applyProtection="0"/>
    <xf numFmtId="0" fontId="5" fillId="7" borderId="0" applyNumberFormat="0" applyBorder="0" applyAlignment="0" applyProtection="0"/>
    <xf numFmtId="0" fontId="66" fillId="88" borderId="0" applyNumberFormat="0" applyBorder="0" applyAlignment="0" applyProtection="0"/>
    <xf numFmtId="0" fontId="67" fillId="88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8" fillId="89" borderId="0" applyNumberFormat="0" applyBorder="0" applyAlignment="0" applyProtection="0"/>
    <xf numFmtId="0" fontId="6" fillId="9" borderId="0" applyNumberFormat="0" applyBorder="0" applyAlignment="0" applyProtection="0"/>
    <xf numFmtId="0" fontId="68" fillId="90" borderId="0" applyNumberFormat="0" applyBorder="0" applyAlignment="0" applyProtection="0"/>
    <xf numFmtId="0" fontId="6" fillId="16" borderId="0" applyNumberFormat="0" applyBorder="0" applyAlignment="0" applyProtection="0"/>
    <xf numFmtId="0" fontId="68" fillId="91" borderId="0" applyNumberFormat="0" applyBorder="0" applyAlignment="0" applyProtection="0"/>
    <xf numFmtId="0" fontId="6" fillId="17" borderId="0" applyNumberFormat="0" applyBorder="0" applyAlignment="0" applyProtection="0"/>
    <xf numFmtId="0" fontId="68" fillId="92" borderId="0" applyNumberFormat="0" applyBorder="0" applyAlignment="0" applyProtection="0"/>
    <xf numFmtId="0" fontId="6" fillId="15" borderId="0" applyNumberFormat="0" applyBorder="0" applyAlignment="0" applyProtection="0"/>
    <xf numFmtId="0" fontId="68" fillId="93" borderId="0" applyNumberFormat="0" applyBorder="0" applyAlignment="0" applyProtection="0"/>
    <xf numFmtId="0" fontId="6" fillId="7" borderId="0" applyNumberFormat="0" applyBorder="0" applyAlignment="0" applyProtection="0"/>
    <xf numFmtId="0" fontId="68" fillId="94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8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9" fillId="17" borderId="1" applyNumberFormat="0" applyAlignment="0" applyProtection="0"/>
    <xf numFmtId="0" fontId="10" fillId="44" borderId="1" applyNumberFormat="0" applyAlignment="0" applyProtection="0"/>
    <xf numFmtId="0" fontId="40" fillId="45" borderId="2" applyNumberFormat="0" applyAlignment="0" applyProtection="0"/>
    <xf numFmtId="0" fontId="40" fillId="45" borderId="2" applyNumberFormat="0" applyAlignment="0" applyProtection="0"/>
    <xf numFmtId="0" fontId="40" fillId="45" borderId="2" applyNumberFormat="0" applyAlignment="0" applyProtection="0"/>
    <xf numFmtId="0" fontId="40" fillId="45" borderId="2" applyNumberFormat="0" applyAlignment="0" applyProtection="0"/>
    <xf numFmtId="0" fontId="40" fillId="45" borderId="2" applyNumberFormat="0" applyAlignment="0" applyProtection="0"/>
    <xf numFmtId="0" fontId="40" fillId="45" borderId="2" applyNumberFormat="0" applyAlignment="0" applyProtection="0"/>
    <xf numFmtId="0" fontId="40" fillId="45" borderId="2" applyNumberFormat="0" applyAlignment="0" applyProtection="0"/>
    <xf numFmtId="0" fontId="40" fillId="45" borderId="2" applyNumberFormat="0" applyAlignment="0" applyProtection="0"/>
    <xf numFmtId="0" fontId="40" fillId="45" borderId="2" applyNumberFormat="0" applyAlignment="0" applyProtection="0"/>
    <xf numFmtId="0" fontId="40" fillId="45" borderId="2" applyNumberFormat="0" applyAlignment="0" applyProtection="0"/>
    <xf numFmtId="0" fontId="40" fillId="45" borderId="2" applyNumberFormat="0" applyAlignment="0" applyProtection="0"/>
    <xf numFmtId="0" fontId="40" fillId="45" borderId="2" applyNumberFormat="0" applyAlignment="0" applyProtection="0"/>
    <xf numFmtId="0" fontId="40" fillId="45" borderId="2" applyNumberFormat="0" applyAlignment="0" applyProtection="0"/>
    <xf numFmtId="0" fontId="40" fillId="45" borderId="2" applyNumberFormat="0" applyAlignment="0" applyProtection="0"/>
    <xf numFmtId="0" fontId="40" fillId="45" borderId="2" applyNumberFormat="0" applyAlignment="0" applyProtection="0"/>
    <xf numFmtId="0" fontId="40" fillId="45" borderId="2" applyNumberFormat="0" applyAlignment="0" applyProtection="0"/>
    <xf numFmtId="0" fontId="40" fillId="45" borderId="2" applyNumberFormat="0" applyAlignment="0" applyProtection="0"/>
    <xf numFmtId="0" fontId="40" fillId="45" borderId="2" applyNumberFormat="0" applyAlignment="0" applyProtection="0"/>
    <xf numFmtId="0" fontId="40" fillId="45" borderId="2" applyNumberFormat="0" applyAlignment="0" applyProtection="0"/>
    <xf numFmtId="0" fontId="40" fillId="45" borderId="2" applyNumberFormat="0" applyAlignment="0" applyProtection="0"/>
    <xf numFmtId="0" fontId="40" fillId="45" borderId="2" applyNumberFormat="0" applyAlignment="0" applyProtection="0"/>
    <xf numFmtId="0" fontId="40" fillId="45" borderId="2" applyNumberFormat="0" applyAlignment="0" applyProtection="0"/>
    <xf numFmtId="0" fontId="10" fillId="44" borderId="1" applyNumberFormat="0" applyAlignment="0" applyProtection="0"/>
    <xf numFmtId="0" fontId="40" fillId="45" borderId="2" applyNumberFormat="0" applyAlignment="0" applyProtection="0"/>
    <xf numFmtId="0" fontId="40" fillId="45" borderId="2" applyNumberFormat="0" applyAlignment="0" applyProtection="0"/>
    <xf numFmtId="0" fontId="40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41" fillId="47" borderId="3" applyNumberFormat="0" applyAlignment="0" applyProtection="0"/>
    <xf numFmtId="0" fontId="41" fillId="47" borderId="3" applyNumberFormat="0" applyAlignment="0" applyProtection="0"/>
    <xf numFmtId="0" fontId="41" fillId="47" borderId="3" applyNumberFormat="0" applyAlignment="0" applyProtection="0"/>
    <xf numFmtId="0" fontId="41" fillId="47" borderId="3" applyNumberFormat="0" applyAlignment="0" applyProtection="0"/>
    <xf numFmtId="0" fontId="42" fillId="17" borderId="1" applyNumberFormat="0" applyAlignment="0" applyProtection="0"/>
    <xf numFmtId="0" fontId="42" fillId="7" borderId="1" applyNumberFormat="0" applyAlignment="0" applyProtection="0"/>
    <xf numFmtId="0" fontId="43" fillId="17" borderId="6" applyNumberFormat="0" applyAlignment="0" applyProtection="0"/>
    <xf numFmtId="0" fontId="43" fillId="17" borderId="6" applyNumberFormat="0" applyAlignment="0" applyProtection="0"/>
    <xf numFmtId="0" fontId="44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92" fontId="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6" fillId="0" borderId="7" applyNumberFormat="0" applyFill="0" applyAlignment="0" applyProtection="0"/>
    <xf numFmtId="0" fontId="47" fillId="0" borderId="8" applyNumberFormat="0" applyFill="0" applyAlignment="0" applyProtection="0"/>
    <xf numFmtId="0" fontId="48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16" fillId="32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1" fillId="7" borderId="1" applyNumberFormat="0" applyAlignment="0" applyProtection="0"/>
    <xf numFmtId="0" fontId="42" fillId="7" borderId="1" applyNumberFormat="0" applyAlignment="0" applyProtection="0"/>
    <xf numFmtId="0" fontId="42" fillId="7" borderId="1" applyNumberFormat="0" applyAlignment="0" applyProtection="0"/>
    <xf numFmtId="0" fontId="42" fillId="7" borderId="1" applyNumberFormat="0" applyAlignment="0" applyProtection="0"/>
    <xf numFmtId="0" fontId="42" fillId="7" borderId="1" applyNumberFormat="0" applyAlignment="0" applyProtection="0"/>
    <xf numFmtId="0" fontId="51" fillId="7" borderId="1" applyNumberFormat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41" fillId="47" borderId="3" applyNumberFormat="0" applyAlignment="0" applyProtection="0"/>
    <xf numFmtId="0" fontId="53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164" fontId="1" fillId="0" borderId="0" applyFont="0" applyFill="0" applyBorder="0" applyAlignment="0" applyProtection="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95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6" fillId="0" borderId="7" applyNumberFormat="0" applyFill="0" applyAlignment="0" applyProtection="0"/>
    <xf numFmtId="0" fontId="47" fillId="0" borderId="8" applyNumberFormat="0" applyFill="0" applyAlignment="0" applyProtection="0"/>
    <xf numFmtId="0" fontId="48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46" fillId="0" borderId="7" applyNumberFormat="0" applyFill="0" applyAlignment="0" applyProtection="0"/>
    <xf numFmtId="0" fontId="47" fillId="0" borderId="8" applyNumberFormat="0" applyFill="0" applyAlignment="0" applyProtection="0"/>
    <xf numFmtId="0" fontId="48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54" fillId="6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6" fillId="0" borderId="0"/>
    <xf numFmtId="0" fontId="4" fillId="0" borderId="0"/>
    <xf numFmtId="0" fontId="4" fillId="0" borderId="0"/>
    <xf numFmtId="0" fontId="69" fillId="0" borderId="0"/>
    <xf numFmtId="0" fontId="7" fillId="0" borderId="0"/>
    <xf numFmtId="0" fontId="6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7" fillId="0" borderId="0"/>
    <xf numFmtId="0" fontId="4" fillId="0" borderId="0"/>
    <xf numFmtId="0" fontId="55" fillId="0" borderId="0" applyNumberFormat="0" applyFill="0" applyBorder="0">
      <alignment vertical="center"/>
    </xf>
    <xf numFmtId="0" fontId="4" fillId="0" borderId="0"/>
    <xf numFmtId="0" fontId="7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40" borderId="11" applyNumberFormat="0" applyFont="0" applyAlignment="0" applyProtection="0"/>
    <xf numFmtId="0" fontId="7" fillId="95" borderId="60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1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1" applyNumberFormat="0" applyFont="0" applyAlignment="0" applyProtection="0"/>
    <xf numFmtId="0" fontId="37" fillId="10" borderId="11" applyNumberFormat="0" applyFont="0" applyAlignment="0" applyProtection="0"/>
    <xf numFmtId="0" fontId="37" fillId="10" borderId="11" applyNumberFormat="0" applyFont="0" applyAlignment="0" applyProtection="0"/>
    <xf numFmtId="0" fontId="37" fillId="10" borderId="11" applyNumberFormat="0" applyFont="0" applyAlignment="0" applyProtection="0"/>
    <xf numFmtId="0" fontId="3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39" fillId="17" borderId="1" applyNumberFormat="0" applyAlignment="0" applyProtection="0"/>
    <xf numFmtId="0" fontId="43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6" fillId="62" borderId="2" applyNumberFormat="0" applyProtection="0">
      <alignment vertical="center"/>
    </xf>
    <xf numFmtId="4" fontId="56" fillId="62" borderId="2" applyNumberFormat="0" applyProtection="0">
      <alignment vertical="center"/>
    </xf>
    <xf numFmtId="4" fontId="56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6" fillId="62" borderId="2" applyNumberFormat="0" applyProtection="0">
      <alignment vertical="center"/>
    </xf>
    <xf numFmtId="4" fontId="56" fillId="62" borderId="2" applyNumberFormat="0" applyProtection="0">
      <alignment vertical="center"/>
    </xf>
    <xf numFmtId="4" fontId="56" fillId="62" borderId="2" applyNumberFormat="0" applyProtection="0">
      <alignment vertical="center"/>
    </xf>
    <xf numFmtId="4" fontId="56" fillId="62" borderId="2" applyNumberFormat="0" applyProtection="0">
      <alignment vertical="center"/>
    </xf>
    <xf numFmtId="4" fontId="56" fillId="62" borderId="2" applyNumberFormat="0" applyProtection="0">
      <alignment vertical="center"/>
    </xf>
    <xf numFmtId="4" fontId="56" fillId="62" borderId="2" applyNumberFormat="0" applyProtection="0">
      <alignment vertical="center"/>
    </xf>
    <xf numFmtId="4" fontId="56" fillId="62" borderId="2" applyNumberFormat="0" applyProtection="0">
      <alignment vertical="center"/>
    </xf>
    <xf numFmtId="4" fontId="56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2" applyNumberFormat="0" applyProtection="0">
      <alignment horizontal="left" vertical="top" indent="1"/>
    </xf>
    <xf numFmtId="0" fontId="57" fillId="60" borderId="12" applyNumberFormat="0" applyProtection="0">
      <alignment horizontal="left" vertical="top" indent="1"/>
    </xf>
    <xf numFmtId="0" fontId="57" fillId="60" borderId="12" applyNumberFormat="0" applyProtection="0">
      <alignment horizontal="left" vertical="top" indent="1"/>
    </xf>
    <xf numFmtId="0" fontId="57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0" fontId="57" fillId="60" borderId="12" applyNumberFormat="0" applyProtection="0">
      <alignment horizontal="left" vertical="top" indent="1"/>
    </xf>
    <xf numFmtId="0" fontId="57" fillId="60" borderId="12" applyNumberFormat="0" applyProtection="0">
      <alignment horizontal="left" vertical="top" indent="1"/>
    </xf>
    <xf numFmtId="0" fontId="57" fillId="60" borderId="12" applyNumberFormat="0" applyProtection="0">
      <alignment horizontal="left" vertical="top" indent="1"/>
    </xf>
    <xf numFmtId="0" fontId="57" fillId="60" borderId="12" applyNumberFormat="0" applyProtection="0">
      <alignment horizontal="left" vertical="top" indent="1"/>
    </xf>
    <xf numFmtId="0" fontId="57" fillId="60" borderId="12" applyNumberFormat="0" applyProtection="0">
      <alignment horizontal="left" vertical="top" indent="1"/>
    </xf>
    <xf numFmtId="0" fontId="57" fillId="60" borderId="12" applyNumberFormat="0" applyProtection="0">
      <alignment horizontal="left" vertical="top" indent="1"/>
    </xf>
    <xf numFmtId="0" fontId="57" fillId="60" borderId="12" applyNumberFormat="0" applyProtection="0">
      <alignment horizontal="left" vertical="top" indent="1"/>
    </xf>
    <xf numFmtId="0" fontId="57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1" fillId="15" borderId="17" applyBorder="0"/>
    <xf numFmtId="4" fontId="5" fillId="10" borderId="12" applyNumberFormat="0" applyProtection="0">
      <alignment vertical="center"/>
    </xf>
    <xf numFmtId="4" fontId="58" fillId="10" borderId="12" applyNumberFormat="0" applyProtection="0">
      <alignment vertical="center"/>
    </xf>
    <xf numFmtId="4" fontId="58" fillId="10" borderId="12" applyNumberFormat="0" applyProtection="0">
      <alignment vertical="center"/>
    </xf>
    <xf numFmtId="4" fontId="58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58" fillId="10" borderId="12" applyNumberFormat="0" applyProtection="0">
      <alignment vertical="center"/>
    </xf>
    <xf numFmtId="4" fontId="58" fillId="10" borderId="12" applyNumberFormat="0" applyProtection="0">
      <alignment vertical="center"/>
    </xf>
    <xf numFmtId="4" fontId="58" fillId="10" borderId="12" applyNumberFormat="0" applyProtection="0">
      <alignment vertical="center"/>
    </xf>
    <xf numFmtId="4" fontId="58" fillId="10" borderId="12" applyNumberFormat="0" applyProtection="0">
      <alignment vertical="center"/>
    </xf>
    <xf numFmtId="4" fontId="58" fillId="10" borderId="12" applyNumberFormat="0" applyProtection="0">
      <alignment vertical="center"/>
    </xf>
    <xf numFmtId="4" fontId="58" fillId="10" borderId="12" applyNumberFormat="0" applyProtection="0">
      <alignment vertical="center"/>
    </xf>
    <xf numFmtId="4" fontId="58" fillId="10" borderId="12" applyNumberFormat="0" applyProtection="0">
      <alignment vertical="center"/>
    </xf>
    <xf numFmtId="4" fontId="58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22" fillId="10" borderId="12" applyNumberFormat="0" applyProtection="0">
      <alignment vertical="center"/>
    </xf>
    <xf numFmtId="4" fontId="56" fillId="68" borderId="15" applyNumberFormat="0" applyProtection="0">
      <alignment vertical="center"/>
    </xf>
    <xf numFmtId="4" fontId="56" fillId="68" borderId="15" applyNumberFormat="0" applyProtection="0">
      <alignment vertical="center"/>
    </xf>
    <xf numFmtId="4" fontId="56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6" fillId="68" borderId="15" applyNumberFormat="0" applyProtection="0">
      <alignment vertical="center"/>
    </xf>
    <xf numFmtId="4" fontId="56" fillId="68" borderId="15" applyNumberFormat="0" applyProtection="0">
      <alignment vertical="center"/>
    </xf>
    <xf numFmtId="4" fontId="56" fillId="68" borderId="15" applyNumberFormat="0" applyProtection="0">
      <alignment vertical="center"/>
    </xf>
    <xf numFmtId="4" fontId="56" fillId="68" borderId="15" applyNumberFormat="0" applyProtection="0">
      <alignment vertical="center"/>
    </xf>
    <xf numFmtId="4" fontId="56" fillId="68" borderId="15" applyNumberFormat="0" applyProtection="0">
      <alignment vertical="center"/>
    </xf>
    <xf numFmtId="4" fontId="56" fillId="68" borderId="15" applyNumberFormat="0" applyProtection="0">
      <alignment vertical="center"/>
    </xf>
    <xf numFmtId="4" fontId="56" fillId="68" borderId="15" applyNumberFormat="0" applyProtection="0">
      <alignment vertical="center"/>
    </xf>
    <xf numFmtId="4" fontId="56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" fillId="10" borderId="12" applyNumberFormat="0" applyProtection="0">
      <alignment horizontal="left" vertical="center" indent="1"/>
    </xf>
    <xf numFmtId="4" fontId="58" fillId="17" borderId="12" applyNumberFormat="0" applyProtection="0">
      <alignment horizontal="left" vertical="center" indent="1"/>
    </xf>
    <xf numFmtId="4" fontId="58" fillId="17" borderId="12" applyNumberFormat="0" applyProtection="0">
      <alignment horizontal="left" vertical="center" indent="1"/>
    </xf>
    <xf numFmtId="4" fontId="58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58" fillId="17" borderId="12" applyNumberFormat="0" applyProtection="0">
      <alignment horizontal="left" vertical="center" indent="1"/>
    </xf>
    <xf numFmtId="4" fontId="58" fillId="17" borderId="12" applyNumberFormat="0" applyProtection="0">
      <alignment horizontal="left" vertical="center" indent="1"/>
    </xf>
    <xf numFmtId="4" fontId="58" fillId="17" borderId="12" applyNumberFormat="0" applyProtection="0">
      <alignment horizontal="left" vertical="center" indent="1"/>
    </xf>
    <xf numFmtId="4" fontId="58" fillId="17" borderId="12" applyNumberFormat="0" applyProtection="0">
      <alignment horizontal="left" vertical="center" indent="1"/>
    </xf>
    <xf numFmtId="4" fontId="58" fillId="17" borderId="12" applyNumberFormat="0" applyProtection="0">
      <alignment horizontal="left" vertical="center" indent="1"/>
    </xf>
    <xf numFmtId="4" fontId="58" fillId="17" borderId="12" applyNumberFormat="0" applyProtection="0">
      <alignment horizontal="left" vertical="center" indent="1"/>
    </xf>
    <xf numFmtId="4" fontId="58" fillId="17" borderId="12" applyNumberFormat="0" applyProtection="0">
      <alignment horizontal="left" vertical="center" indent="1"/>
    </xf>
    <xf numFmtId="4" fontId="58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0" fontId="5" fillId="10" borderId="12" applyNumberFormat="0" applyProtection="0">
      <alignment horizontal="left" vertical="top" indent="1"/>
    </xf>
    <xf numFmtId="0" fontId="58" fillId="10" borderId="12" applyNumberFormat="0" applyProtection="0">
      <alignment horizontal="left" vertical="top" indent="1"/>
    </xf>
    <xf numFmtId="0" fontId="58" fillId="10" borderId="12" applyNumberFormat="0" applyProtection="0">
      <alignment horizontal="left" vertical="top" indent="1"/>
    </xf>
    <xf numFmtId="0" fontId="58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0" fontId="58" fillId="10" borderId="12" applyNumberFormat="0" applyProtection="0">
      <alignment horizontal="left" vertical="top" indent="1"/>
    </xf>
    <xf numFmtId="0" fontId="58" fillId="10" borderId="12" applyNumberFormat="0" applyProtection="0">
      <alignment horizontal="left" vertical="top" indent="1"/>
    </xf>
    <xf numFmtId="0" fontId="58" fillId="10" borderId="12" applyNumberFormat="0" applyProtection="0">
      <alignment horizontal="left" vertical="top" indent="1"/>
    </xf>
    <xf numFmtId="0" fontId="58" fillId="10" borderId="12" applyNumberFormat="0" applyProtection="0">
      <alignment horizontal="left" vertical="top" indent="1"/>
    </xf>
    <xf numFmtId="0" fontId="58" fillId="10" borderId="12" applyNumberFormat="0" applyProtection="0">
      <alignment horizontal="left" vertical="top" indent="1"/>
    </xf>
    <xf numFmtId="0" fontId="58" fillId="10" borderId="12" applyNumberFormat="0" applyProtection="0">
      <alignment horizontal="left" vertical="top" indent="1"/>
    </xf>
    <xf numFmtId="0" fontId="58" fillId="10" borderId="12" applyNumberFormat="0" applyProtection="0">
      <alignment horizontal="left" vertical="top" indent="1"/>
    </xf>
    <xf numFmtId="0" fontId="58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6" fillId="69" borderId="2" applyNumberFormat="0" applyProtection="0">
      <alignment horizontal="right" vertical="center"/>
    </xf>
    <xf numFmtId="4" fontId="56" fillId="69" borderId="2" applyNumberFormat="0" applyProtection="0">
      <alignment horizontal="right" vertical="center"/>
    </xf>
    <xf numFmtId="4" fontId="56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6" fillId="69" borderId="2" applyNumberFormat="0" applyProtection="0">
      <alignment horizontal="right" vertical="center"/>
    </xf>
    <xf numFmtId="4" fontId="56" fillId="69" borderId="2" applyNumberFormat="0" applyProtection="0">
      <alignment horizontal="right" vertical="center"/>
    </xf>
    <xf numFmtId="4" fontId="56" fillId="69" borderId="2" applyNumberFormat="0" applyProtection="0">
      <alignment horizontal="right" vertical="center"/>
    </xf>
    <xf numFmtId="4" fontId="56" fillId="69" borderId="2" applyNumberFormat="0" applyProtection="0">
      <alignment horizontal="right" vertical="center"/>
    </xf>
    <xf numFmtId="4" fontId="56" fillId="69" borderId="2" applyNumberFormat="0" applyProtection="0">
      <alignment horizontal="right" vertical="center"/>
    </xf>
    <xf numFmtId="4" fontId="56" fillId="69" borderId="2" applyNumberFormat="0" applyProtection="0">
      <alignment horizontal="right" vertical="center"/>
    </xf>
    <xf numFmtId="4" fontId="56" fillId="69" borderId="2" applyNumberFormat="0" applyProtection="0">
      <alignment horizontal="right" vertical="center"/>
    </xf>
    <xf numFmtId="4" fontId="56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" fillId="8" borderId="1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8" fillId="8" borderId="12" applyNumberFormat="0" applyProtection="0">
      <alignment horizontal="left" vertical="top" indent="1"/>
    </xf>
    <xf numFmtId="0" fontId="58" fillId="8" borderId="12" applyNumberFormat="0" applyProtection="0">
      <alignment horizontal="left" vertical="top" indent="1"/>
    </xf>
    <xf numFmtId="0" fontId="58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8" fillId="8" borderId="12" applyNumberFormat="0" applyProtection="0">
      <alignment horizontal="left" vertical="top" indent="1"/>
    </xf>
    <xf numFmtId="0" fontId="58" fillId="8" borderId="12" applyNumberFormat="0" applyProtection="0">
      <alignment horizontal="left" vertical="top" indent="1"/>
    </xf>
    <xf numFmtId="0" fontId="58" fillId="8" borderId="12" applyNumberFormat="0" applyProtection="0">
      <alignment horizontal="left" vertical="top" indent="1"/>
    </xf>
    <xf numFmtId="0" fontId="58" fillId="8" borderId="12" applyNumberFormat="0" applyProtection="0">
      <alignment horizontal="left" vertical="top" indent="1"/>
    </xf>
    <xf numFmtId="0" fontId="58" fillId="8" borderId="12" applyNumberFormat="0" applyProtection="0">
      <alignment horizontal="left" vertical="top" indent="1"/>
    </xf>
    <xf numFmtId="0" fontId="58" fillId="8" borderId="12" applyNumberFormat="0" applyProtection="0">
      <alignment horizontal="left" vertical="top" indent="1"/>
    </xf>
    <xf numFmtId="0" fontId="58" fillId="8" borderId="12" applyNumberFormat="0" applyProtection="0">
      <alignment horizontal="left" vertical="top" indent="1"/>
    </xf>
    <xf numFmtId="0" fontId="58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9" fillId="71" borderId="13" applyNumberFormat="0" applyProtection="0">
      <alignment horizontal="left" vertical="center" indent="1"/>
    </xf>
    <xf numFmtId="4" fontId="59" fillId="71" borderId="13" applyNumberFormat="0" applyProtection="0">
      <alignment horizontal="left" vertical="center" indent="1"/>
    </xf>
    <xf numFmtId="4" fontId="59" fillId="71" borderId="13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9" fillId="71" borderId="13" applyNumberFormat="0" applyProtection="0">
      <alignment horizontal="left" vertical="center" indent="1"/>
    </xf>
    <xf numFmtId="4" fontId="59" fillId="71" borderId="13" applyNumberFormat="0" applyProtection="0">
      <alignment horizontal="left" vertical="center" indent="1"/>
    </xf>
    <xf numFmtId="4" fontId="59" fillId="71" borderId="13" applyNumberFormat="0" applyProtection="0">
      <alignment horizontal="left" vertical="center" indent="1"/>
    </xf>
    <xf numFmtId="4" fontId="59" fillId="71" borderId="13" applyNumberFormat="0" applyProtection="0">
      <alignment horizontal="left" vertical="center" indent="1"/>
    </xf>
    <xf numFmtId="4" fontId="59" fillId="71" borderId="13" applyNumberFormat="0" applyProtection="0">
      <alignment horizontal="left" vertical="center" indent="1"/>
    </xf>
    <xf numFmtId="4" fontId="59" fillId="71" borderId="13" applyNumberFormat="0" applyProtection="0">
      <alignment horizontal="left" vertical="center" indent="1"/>
    </xf>
    <xf numFmtId="4" fontId="59" fillId="71" borderId="13" applyNumberFormat="0" applyProtection="0">
      <alignment horizontal="left" vertical="center" indent="1"/>
    </xf>
    <xf numFmtId="4" fontId="59" fillId="71" borderId="13" applyNumberFormat="0" applyProtection="0">
      <alignment horizontal="left" vertical="center" indent="1"/>
    </xf>
    <xf numFmtId="0" fontId="3" fillId="72" borderId="15"/>
    <xf numFmtId="0" fontId="3" fillId="72" borderId="15"/>
    <xf numFmtId="0" fontId="3" fillId="72" borderId="15"/>
    <xf numFmtId="0" fontId="3" fillId="72" borderId="15"/>
    <xf numFmtId="0" fontId="3" fillId="72" borderId="15"/>
    <xf numFmtId="4" fontId="24" fillId="66" borderId="12" applyNumberFormat="0" applyProtection="0">
      <alignment horizontal="right" vertical="center"/>
    </xf>
    <xf numFmtId="4" fontId="60" fillId="11" borderId="2" applyNumberFormat="0" applyProtection="0">
      <alignment horizontal="right" vertical="center"/>
    </xf>
    <xf numFmtId="4" fontId="60" fillId="11" borderId="2" applyNumberFormat="0" applyProtection="0">
      <alignment horizontal="right" vertical="center"/>
    </xf>
    <xf numFmtId="4" fontId="60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60" fillId="11" borderId="2" applyNumberFormat="0" applyProtection="0">
      <alignment horizontal="right" vertical="center"/>
    </xf>
    <xf numFmtId="4" fontId="60" fillId="11" borderId="2" applyNumberFormat="0" applyProtection="0">
      <alignment horizontal="right" vertical="center"/>
    </xf>
    <xf numFmtId="4" fontId="60" fillId="11" borderId="2" applyNumberFormat="0" applyProtection="0">
      <alignment horizontal="right" vertical="center"/>
    </xf>
    <xf numFmtId="4" fontId="60" fillId="11" borderId="2" applyNumberFormat="0" applyProtection="0">
      <alignment horizontal="right" vertical="center"/>
    </xf>
    <xf numFmtId="4" fontId="60" fillId="11" borderId="2" applyNumberFormat="0" applyProtection="0">
      <alignment horizontal="right" vertical="center"/>
    </xf>
    <xf numFmtId="4" fontId="60" fillId="11" borderId="2" applyNumberFormat="0" applyProtection="0">
      <alignment horizontal="right" vertical="center"/>
    </xf>
    <xf numFmtId="4" fontId="60" fillId="11" borderId="2" applyNumberFormat="0" applyProtection="0">
      <alignment horizontal="right" vertical="center"/>
    </xf>
    <xf numFmtId="4" fontId="60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61" fillId="0" borderId="18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37" fillId="10" borderId="11" applyNumberFormat="0" applyFont="0" applyAlignment="0" applyProtection="0"/>
    <xf numFmtId="0" fontId="26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</cellStyleXfs>
  <cellXfs count="648">
    <xf numFmtId="0" fontId="0" fillId="0" borderId="0" xfId="0"/>
    <xf numFmtId="0" fontId="33" fillId="0" borderId="25" xfId="0" applyFont="1" applyBorder="1"/>
    <xf numFmtId="0" fontId="4" fillId="0" borderId="0" xfId="0" applyFont="1"/>
    <xf numFmtId="0" fontId="33" fillId="0" borderId="0" xfId="0" applyFont="1"/>
    <xf numFmtId="0" fontId="33" fillId="0" borderId="0" xfId="0" applyFont="1" applyAlignment="1">
      <alignment horizontal="center"/>
    </xf>
    <xf numFmtId="0" fontId="33" fillId="74" borderId="0" xfId="0" applyFont="1" applyFill="1"/>
    <xf numFmtId="0" fontId="32" fillId="0" borderId="0" xfId="0" applyFont="1"/>
    <xf numFmtId="0" fontId="32" fillId="0" borderId="0" xfId="0" applyFont="1" applyAlignment="1">
      <alignment horizontal="justify"/>
    </xf>
    <xf numFmtId="184" fontId="33" fillId="0" borderId="0" xfId="0" applyNumberFormat="1" applyFont="1"/>
    <xf numFmtId="0" fontId="32" fillId="0" borderId="25" xfId="0" applyFont="1" applyBorder="1" applyAlignment="1">
      <alignment horizontal="left" indent="1"/>
    </xf>
    <xf numFmtId="167" fontId="33" fillId="0" borderId="31" xfId="828" applyNumberFormat="1" applyFont="1" applyBorder="1"/>
    <xf numFmtId="0" fontId="33" fillId="0" borderId="25" xfId="0" applyFont="1" applyBorder="1" applyAlignment="1">
      <alignment horizontal="justify"/>
    </xf>
    <xf numFmtId="0" fontId="33" fillId="0" borderId="25" xfId="0" applyFont="1" applyBorder="1" applyAlignment="1">
      <alignment horizontal="left" indent="1"/>
    </xf>
    <xf numFmtId="3" fontId="33" fillId="0" borderId="0" xfId="0" applyNumberFormat="1" applyFont="1"/>
    <xf numFmtId="188" fontId="33" fillId="0" borderId="0" xfId="0" applyNumberFormat="1" applyFont="1"/>
    <xf numFmtId="167" fontId="33" fillId="0" borderId="32" xfId="828" applyNumberFormat="1" applyFont="1" applyBorder="1"/>
    <xf numFmtId="186" fontId="33" fillId="0" borderId="0" xfId="951" applyNumberFormat="1" applyFont="1"/>
    <xf numFmtId="0" fontId="33" fillId="0" borderId="28" xfId="0" applyFont="1" applyBorder="1" applyAlignment="1">
      <alignment horizontal="left" indent="1"/>
    </xf>
    <xf numFmtId="0" fontId="32" fillId="0" borderId="28" xfId="0" applyFont="1" applyBorder="1" applyAlignment="1">
      <alignment horizontal="justify"/>
    </xf>
    <xf numFmtId="0" fontId="33" fillId="73" borderId="0" xfId="0" applyFont="1" applyFill="1"/>
    <xf numFmtId="0" fontId="33" fillId="0" borderId="0" xfId="0" applyFont="1" applyAlignment="1">
      <alignment horizontal="justify"/>
    </xf>
    <xf numFmtId="0" fontId="35" fillId="0" borderId="0" xfId="0" applyFont="1" applyAlignment="1">
      <alignment horizontal="justify"/>
    </xf>
    <xf numFmtId="3" fontId="33" fillId="0" borderId="0" xfId="0" applyNumberFormat="1" applyFont="1" applyAlignment="1">
      <alignment horizontal="justify"/>
    </xf>
    <xf numFmtId="188" fontId="33" fillId="0" borderId="29" xfId="0" applyNumberFormat="1" applyFont="1" applyBorder="1" applyAlignment="1">
      <alignment horizontal="right" vertical="center"/>
    </xf>
    <xf numFmtId="0" fontId="33" fillId="0" borderId="33" xfId="0" applyFont="1" applyBorder="1"/>
    <xf numFmtId="0" fontId="33" fillId="0" borderId="34" xfId="0" applyFont="1" applyBorder="1"/>
    <xf numFmtId="17" fontId="32" fillId="96" borderId="35" xfId="0" quotePrefix="1" applyNumberFormat="1" applyFont="1" applyFill="1" applyBorder="1" applyAlignment="1">
      <alignment horizontal="left" vertical="center" wrapText="1"/>
    </xf>
    <xf numFmtId="17" fontId="32" fillId="96" borderId="36" xfId="0" quotePrefix="1" applyNumberFormat="1" applyFont="1" applyFill="1" applyBorder="1" applyAlignment="1">
      <alignment horizontal="center" vertical="center" wrapText="1"/>
    </xf>
    <xf numFmtId="0" fontId="33" fillId="0" borderId="0" xfId="0" applyFont="1" applyFill="1"/>
    <xf numFmtId="1" fontId="33" fillId="0" borderId="0" xfId="0" applyNumberFormat="1" applyFont="1" applyFill="1"/>
    <xf numFmtId="188" fontId="33" fillId="0" borderId="0" xfId="0" applyNumberFormat="1" applyFont="1" applyFill="1"/>
    <xf numFmtId="0" fontId="33" fillId="0" borderId="0" xfId="0" applyFont="1" applyFill="1" applyAlignment="1">
      <alignment horizontal="justify"/>
    </xf>
    <xf numFmtId="0" fontId="4" fillId="0" borderId="0" xfId="0" applyFont="1" applyFill="1"/>
    <xf numFmtId="3" fontId="33" fillId="0" borderId="0" xfId="0" applyNumberFormat="1" applyFont="1" applyFill="1" applyAlignment="1">
      <alignment horizontal="justify"/>
    </xf>
    <xf numFmtId="0" fontId="33" fillId="0" borderId="0" xfId="0" applyFont="1" applyAlignment="1">
      <alignment horizontal="right"/>
    </xf>
    <xf numFmtId="0" fontId="33" fillId="0" borderId="0" xfId="0" applyFont="1" applyFill="1" applyAlignment="1">
      <alignment horizontal="right"/>
    </xf>
    <xf numFmtId="0" fontId="32" fillId="0" borderId="0" xfId="0" applyFont="1" applyAlignment="1">
      <alignment horizontal="right"/>
    </xf>
    <xf numFmtId="0" fontId="32" fillId="0" borderId="0" xfId="0" applyFont="1" applyAlignment="1">
      <alignment horizontal="center"/>
    </xf>
    <xf numFmtId="3" fontId="33" fillId="0" borderId="0" xfId="0" applyNumberFormat="1" applyFont="1" applyFill="1" applyBorder="1"/>
    <xf numFmtId="3" fontId="32" fillId="0" borderId="0" xfId="0" applyNumberFormat="1" applyFont="1" applyBorder="1"/>
    <xf numFmtId="0" fontId="33" fillId="0" borderId="37" xfId="0" applyFont="1" applyBorder="1"/>
    <xf numFmtId="186" fontId="33" fillId="0" borderId="31" xfId="951" applyNumberFormat="1" applyFont="1" applyBorder="1" applyAlignment="1">
      <alignment horizontal="right" wrapText="1" indent="1"/>
    </xf>
    <xf numFmtId="0" fontId="33" fillId="96" borderId="15" xfId="0" applyFont="1" applyFill="1" applyBorder="1" applyAlignment="1">
      <alignment horizontal="center" vertical="center"/>
    </xf>
    <xf numFmtId="0" fontId="33" fillId="96" borderId="15" xfId="0" applyFont="1" applyFill="1" applyBorder="1" applyAlignment="1">
      <alignment vertical="center"/>
    </xf>
    <xf numFmtId="0" fontId="33" fillId="0" borderId="37" xfId="0" applyFont="1" applyFill="1" applyBorder="1" applyAlignment="1">
      <alignment horizontal="center" vertical="center"/>
    </xf>
    <xf numFmtId="188" fontId="33" fillId="0" borderId="37" xfId="0" applyNumberFormat="1" applyFont="1" applyBorder="1" applyAlignment="1">
      <alignment horizontal="right"/>
    </xf>
    <xf numFmtId="188" fontId="33" fillId="0" borderId="38" xfId="0" applyNumberFormat="1" applyFont="1" applyBorder="1" applyAlignment="1">
      <alignment horizontal="right"/>
    </xf>
    <xf numFmtId="188" fontId="33" fillId="0" borderId="32" xfId="0" applyNumberFormat="1" applyFont="1" applyBorder="1" applyAlignment="1">
      <alignment horizontal="right"/>
    </xf>
    <xf numFmtId="188" fontId="33" fillId="0" borderId="31" xfId="0" applyNumberFormat="1" applyFont="1" applyBorder="1" applyAlignment="1">
      <alignment horizontal="right"/>
    </xf>
    <xf numFmtId="10" fontId="33" fillId="0" borderId="32" xfId="951" applyNumberFormat="1" applyFont="1" applyBorder="1" applyAlignment="1">
      <alignment horizontal="right" wrapText="1" indent="1"/>
    </xf>
    <xf numFmtId="186" fontId="33" fillId="0" borderId="0" xfId="951" applyNumberFormat="1" applyFont="1" applyBorder="1" applyAlignment="1">
      <alignment horizontal="right" wrapText="1" indent="1"/>
    </xf>
    <xf numFmtId="188" fontId="32" fillId="0" borderId="37" xfId="0" applyNumberFormat="1" applyFont="1" applyBorder="1" applyAlignment="1">
      <alignment horizontal="right" vertical="center"/>
    </xf>
    <xf numFmtId="0" fontId="33" fillId="0" borderId="37" xfId="0" applyFont="1" applyBorder="1" applyAlignment="1">
      <alignment horizontal="center" vertical="center"/>
    </xf>
    <xf numFmtId="0" fontId="33" fillId="0" borderId="31" xfId="0" applyFont="1" applyBorder="1"/>
    <xf numFmtId="49" fontId="33" fillId="0" borderId="29" xfId="0" applyNumberFormat="1" applyFont="1" applyFill="1" applyBorder="1" applyAlignment="1">
      <alignment horizontal="center" vertical="center" wrapText="1"/>
    </xf>
    <xf numFmtId="17" fontId="33" fillId="0" borderId="29" xfId="0" applyNumberFormat="1" applyFont="1" applyFill="1" applyBorder="1" applyAlignment="1">
      <alignment horizontal="center" vertical="center" wrapText="1"/>
    </xf>
    <xf numFmtId="0" fontId="32" fillId="96" borderId="40" xfId="0" applyFont="1" applyFill="1" applyBorder="1" applyAlignment="1">
      <alignment horizontal="left" vertical="center" wrapText="1" indent="2"/>
    </xf>
    <xf numFmtId="17" fontId="32" fillId="96" borderId="39" xfId="0" quotePrefix="1" applyNumberFormat="1" applyFont="1" applyFill="1" applyBorder="1" applyAlignment="1">
      <alignment horizontal="center" vertical="center" wrapText="1"/>
    </xf>
    <xf numFmtId="0" fontId="32" fillId="96" borderId="40" xfId="0" applyFont="1" applyFill="1" applyBorder="1" applyAlignment="1">
      <alignment horizontal="left" vertical="center" wrapText="1" indent="1"/>
    </xf>
    <xf numFmtId="2" fontId="33" fillId="0" borderId="37" xfId="0" applyNumberFormat="1" applyFont="1" applyBorder="1" applyAlignment="1">
      <alignment vertical="center"/>
    </xf>
    <xf numFmtId="188" fontId="33" fillId="0" borderId="37" xfId="0" applyNumberFormat="1" applyFont="1" applyBorder="1" applyAlignment="1">
      <alignment horizontal="right" vertical="center"/>
    </xf>
    <xf numFmtId="188" fontId="33" fillId="0" borderId="27" xfId="0" applyNumberFormat="1" applyFont="1" applyBorder="1" applyAlignment="1">
      <alignment horizontal="right" vertical="center"/>
    </xf>
    <xf numFmtId="3" fontId="33" fillId="0" borderId="37" xfId="0" applyNumberFormat="1" applyFont="1" applyBorder="1" applyAlignment="1">
      <alignment horizontal="right" vertical="center"/>
    </xf>
    <xf numFmtId="3" fontId="32" fillId="96" borderId="15" xfId="0" applyNumberFormat="1" applyFont="1" applyFill="1" applyBorder="1" applyAlignment="1">
      <alignment horizontal="right" vertical="center"/>
    </xf>
    <xf numFmtId="0" fontId="33" fillId="0" borderId="37" xfId="0" applyFont="1" applyBorder="1" applyAlignment="1">
      <alignment vertical="center"/>
    </xf>
    <xf numFmtId="3" fontId="33" fillId="0" borderId="27" xfId="0" applyNumberFormat="1" applyFont="1" applyBorder="1" applyAlignment="1">
      <alignment horizontal="right" vertical="center"/>
    </xf>
    <xf numFmtId="0" fontId="33" fillId="0" borderId="27" xfId="0" applyFont="1" applyBorder="1" applyAlignment="1">
      <alignment horizontal="right" vertical="center"/>
    </xf>
    <xf numFmtId="184" fontId="33" fillId="0" borderId="37" xfId="836" applyNumberFormat="1" applyFont="1" applyBorder="1" applyAlignment="1">
      <alignment vertical="center"/>
    </xf>
    <xf numFmtId="184" fontId="33" fillId="0" borderId="0" xfId="836" applyNumberFormat="1" applyFont="1" applyBorder="1" applyAlignment="1">
      <alignment vertical="center"/>
    </xf>
    <xf numFmtId="184" fontId="32" fillId="96" borderId="15" xfId="0" applyNumberFormat="1" applyFont="1" applyFill="1" applyBorder="1" applyAlignment="1">
      <alignment vertical="center"/>
    </xf>
    <xf numFmtId="184" fontId="32" fillId="96" borderId="41" xfId="0" applyNumberFormat="1" applyFont="1" applyFill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3" fillId="0" borderId="26" xfId="0" applyFont="1" applyBorder="1"/>
    <xf numFmtId="3" fontId="3" fillId="0" borderId="26" xfId="0" applyNumberFormat="1" applyFont="1" applyBorder="1"/>
    <xf numFmtId="3" fontId="31" fillId="0" borderId="0" xfId="0" applyNumberFormat="1" applyFont="1"/>
    <xf numFmtId="0" fontId="71" fillId="0" borderId="0" xfId="0" applyFont="1"/>
    <xf numFmtId="0" fontId="33" fillId="0" borderId="37" xfId="0" applyFont="1" applyFill="1" applyBorder="1" applyAlignment="1">
      <alignment horizontal="center" vertical="center" wrapText="1"/>
    </xf>
    <xf numFmtId="0" fontId="33" fillId="0" borderId="0" xfId="904" applyFont="1" applyFill="1" applyBorder="1"/>
    <xf numFmtId="3" fontId="33" fillId="0" borderId="0" xfId="904" applyNumberFormat="1" applyFont="1" applyFill="1" applyBorder="1"/>
    <xf numFmtId="0" fontId="32" fillId="0" borderId="0" xfId="904" applyFont="1" applyFill="1" applyBorder="1"/>
    <xf numFmtId="3" fontId="33" fillId="0" borderId="44" xfId="904" applyNumberFormat="1" applyFont="1" applyFill="1" applyBorder="1" applyAlignment="1">
      <alignment vertical="center"/>
    </xf>
    <xf numFmtId="0" fontId="32" fillId="75" borderId="44" xfId="904" applyFont="1" applyFill="1" applyBorder="1" applyAlignment="1">
      <alignment horizontal="center" vertical="center"/>
    </xf>
    <xf numFmtId="3" fontId="32" fillId="75" borderId="44" xfId="904" applyNumberFormat="1" applyFont="1" applyFill="1" applyBorder="1" applyAlignment="1">
      <alignment vertical="center"/>
    </xf>
    <xf numFmtId="0" fontId="32" fillId="0" borderId="0" xfId="904" applyFont="1" applyFill="1" applyBorder="1" applyAlignment="1">
      <alignment horizontal="center" vertical="center"/>
    </xf>
    <xf numFmtId="3" fontId="32" fillId="0" borderId="44" xfId="904" applyNumberFormat="1" applyFont="1" applyFill="1" applyBorder="1" applyAlignment="1">
      <alignment vertical="center"/>
    </xf>
    <xf numFmtId="0" fontId="33" fillId="0" borderId="0" xfId="904" applyFont="1" applyAlignment="1"/>
    <xf numFmtId="0" fontId="32" fillId="76" borderId="30" xfId="71" applyFont="1" applyFill="1" applyBorder="1" applyAlignment="1">
      <alignment vertical="center" wrapText="1"/>
    </xf>
    <xf numFmtId="0" fontId="33" fillId="0" borderId="0" xfId="904" applyFont="1" applyAlignment="1">
      <alignment horizontal="center"/>
    </xf>
    <xf numFmtId="189" fontId="32" fillId="75" borderId="44" xfId="904" applyNumberFormat="1" applyFont="1" applyFill="1" applyBorder="1" applyAlignment="1">
      <alignment horizontal="center" vertical="justify"/>
    </xf>
    <xf numFmtId="3" fontId="32" fillId="75" borderId="44" xfId="904" applyNumberFormat="1" applyFont="1" applyFill="1" applyBorder="1" applyAlignment="1">
      <alignment horizontal="center" vertical="center"/>
    </xf>
    <xf numFmtId="3" fontId="33" fillId="0" borderId="0" xfId="904" applyNumberFormat="1" applyFont="1" applyAlignment="1"/>
    <xf numFmtId="3" fontId="33" fillId="75" borderId="44" xfId="904" applyNumberFormat="1" applyFont="1" applyFill="1" applyBorder="1" applyAlignment="1">
      <alignment vertical="center"/>
    </xf>
    <xf numFmtId="0" fontId="33" fillId="0" borderId="0" xfId="904" applyFont="1" applyFill="1" applyAlignment="1"/>
    <xf numFmtId="0" fontId="33" fillId="0" borderId="46" xfId="904" applyFont="1" applyFill="1" applyBorder="1" applyAlignment="1">
      <alignment horizontal="center" vertical="center"/>
    </xf>
    <xf numFmtId="0" fontId="33" fillId="0" borderId="47" xfId="904" applyFont="1" applyFill="1" applyBorder="1" applyAlignment="1">
      <alignment horizontal="center" vertical="center"/>
    </xf>
    <xf numFmtId="3" fontId="33" fillId="0" borderId="46" xfId="904" applyNumberFormat="1" applyFont="1" applyFill="1" applyBorder="1" applyAlignment="1">
      <alignment horizontal="center" vertical="center"/>
    </xf>
    <xf numFmtId="0" fontId="32" fillId="0" borderId="48" xfId="904" applyFont="1" applyFill="1" applyBorder="1" applyAlignment="1">
      <alignment horizontal="center" vertical="center"/>
    </xf>
    <xf numFmtId="4" fontId="33" fillId="0" borderId="44" xfId="904" applyNumberFormat="1" applyFont="1" applyFill="1" applyBorder="1" applyAlignment="1">
      <alignment vertical="center"/>
    </xf>
    <xf numFmtId="4" fontId="32" fillId="75" borderId="44" xfId="904" applyNumberFormat="1" applyFont="1" applyFill="1" applyBorder="1" applyAlignment="1">
      <alignment vertical="center"/>
    </xf>
    <xf numFmtId="0" fontId="32" fillId="0" borderId="49" xfId="904" applyFont="1" applyFill="1" applyBorder="1" applyAlignment="1">
      <alignment horizontal="left" vertical="center"/>
    </xf>
    <xf numFmtId="0" fontId="36" fillId="0" borderId="50" xfId="903" applyFont="1" applyFill="1" applyBorder="1"/>
    <xf numFmtId="0" fontId="36" fillId="0" borderId="0" xfId="903" applyFont="1" applyFill="1" applyBorder="1"/>
    <xf numFmtId="3" fontId="36" fillId="0" borderId="50" xfId="903" applyNumberFormat="1" applyFont="1" applyFill="1" applyBorder="1"/>
    <xf numFmtId="3" fontId="36" fillId="0" borderId="0" xfId="903" applyNumberFormat="1" applyFont="1" applyFill="1" applyBorder="1"/>
    <xf numFmtId="0" fontId="32" fillId="0" borderId="46" xfId="904" applyFont="1" applyFill="1" applyBorder="1" applyAlignment="1">
      <alignment horizontal="center" vertical="center"/>
    </xf>
    <xf numFmtId="0" fontId="32" fillId="0" borderId="47" xfId="904" applyFont="1" applyFill="1" applyBorder="1" applyAlignment="1">
      <alignment horizontal="center" vertical="center"/>
    </xf>
    <xf numFmtId="3" fontId="33" fillId="0" borderId="0" xfId="903" applyNumberFormat="1" applyFont="1" applyFill="1" applyBorder="1" applyAlignment="1">
      <alignment vertical="center"/>
    </xf>
    <xf numFmtId="3" fontId="33" fillId="0" borderId="50" xfId="903" applyNumberFormat="1" applyFont="1" applyFill="1" applyBorder="1" applyAlignment="1">
      <alignment vertical="center"/>
    </xf>
    <xf numFmtId="0" fontId="33" fillId="0" borderId="15" xfId="904" applyFont="1" applyFill="1" applyBorder="1" applyAlignment="1" applyProtection="1">
      <alignment vertical="center"/>
      <protection locked="0"/>
    </xf>
    <xf numFmtId="0" fontId="33" fillId="0" borderId="51" xfId="904" applyFont="1" applyFill="1" applyBorder="1" applyAlignment="1" applyProtection="1">
      <alignment vertical="center"/>
      <protection locked="0"/>
    </xf>
    <xf numFmtId="0" fontId="33" fillId="0" borderId="15" xfId="904" applyFont="1" applyFill="1" applyBorder="1" applyAlignment="1" applyProtection="1">
      <alignment vertical="center"/>
    </xf>
    <xf numFmtId="0" fontId="33" fillId="0" borderId="51" xfId="904" applyFont="1" applyFill="1" applyBorder="1" applyAlignment="1" applyProtection="1">
      <alignment vertical="center"/>
    </xf>
    <xf numFmtId="0" fontId="30" fillId="0" borderId="0" xfId="904" applyFont="1"/>
    <xf numFmtId="0" fontId="4" fillId="0" borderId="0" xfId="904" applyFont="1" applyAlignment="1">
      <alignment horizontal="center"/>
    </xf>
    <xf numFmtId="0" fontId="4" fillId="0" borderId="0" xfId="904" applyFont="1"/>
    <xf numFmtId="0" fontId="4" fillId="0" borderId="0" xfId="904" applyFont="1" applyAlignment="1">
      <alignment wrapText="1"/>
    </xf>
    <xf numFmtId="0" fontId="4" fillId="0" borderId="50" xfId="904" applyFont="1" applyBorder="1" applyAlignment="1">
      <alignment wrapText="1"/>
    </xf>
    <xf numFmtId="3" fontId="4" fillId="0" borderId="0" xfId="904" applyNumberFormat="1" applyFont="1"/>
    <xf numFmtId="0" fontId="72" fillId="0" borderId="0" xfId="0" applyFont="1"/>
    <xf numFmtId="0" fontId="72" fillId="0" borderId="0" xfId="0" applyFont="1" applyBorder="1" applyAlignment="1">
      <alignment horizontal="left" indent="1"/>
    </xf>
    <xf numFmtId="3" fontId="72" fillId="0" borderId="0" xfId="0" applyNumberFormat="1" applyFont="1" applyBorder="1" applyAlignment="1">
      <alignment horizontal="right"/>
    </xf>
    <xf numFmtId="184" fontId="72" fillId="0" borderId="0" xfId="0" applyNumberFormat="1" applyFont="1"/>
    <xf numFmtId="186" fontId="72" fillId="0" borderId="0" xfId="0" applyNumberFormat="1" applyFont="1"/>
    <xf numFmtId="0" fontId="32" fillId="96" borderId="52" xfId="0" applyFont="1" applyFill="1" applyBorder="1" applyAlignment="1">
      <alignment horizontal="center" vertical="center" wrapText="1"/>
    </xf>
    <xf numFmtId="0" fontId="32" fillId="96" borderId="39" xfId="0" quotePrefix="1" applyFont="1" applyFill="1" applyBorder="1" applyAlignment="1">
      <alignment horizontal="center" vertical="center" wrapText="1"/>
    </xf>
    <xf numFmtId="0" fontId="32" fillId="96" borderId="36" xfId="0" applyFont="1" applyFill="1" applyBorder="1" applyAlignment="1">
      <alignment horizontal="center" vertical="center" wrapText="1"/>
    </xf>
    <xf numFmtId="0" fontId="65" fillId="0" borderId="0" xfId="904" applyFont="1" applyFill="1"/>
    <xf numFmtId="0" fontId="33" fillId="0" borderId="0" xfId="0" applyFont="1" applyAlignment="1"/>
    <xf numFmtId="0" fontId="4" fillId="0" borderId="0" xfId="904" applyFont="1" applyFill="1"/>
    <xf numFmtId="3" fontId="4" fillId="0" borderId="0" xfId="904" applyNumberFormat="1" applyFont="1" applyFill="1"/>
    <xf numFmtId="0" fontId="32" fillId="0" borderId="0" xfId="0" applyFont="1" applyBorder="1"/>
    <xf numFmtId="0" fontId="33" fillId="0" borderId="0" xfId="0" applyFont="1" applyAlignment="1">
      <alignment vertical="center"/>
    </xf>
    <xf numFmtId="186" fontId="33" fillId="0" borderId="37" xfId="951" applyNumberFormat="1" applyFont="1" applyBorder="1" applyAlignment="1">
      <alignment horizontal="right" vertical="center"/>
    </xf>
    <xf numFmtId="188" fontId="72" fillId="0" borderId="0" xfId="0" applyNumberFormat="1" applyFont="1" applyAlignment="1">
      <alignment vertical="center"/>
    </xf>
    <xf numFmtId="0" fontId="72" fillId="0" borderId="0" xfId="0" applyFont="1" applyAlignment="1">
      <alignment vertical="center"/>
    </xf>
    <xf numFmtId="0" fontId="33" fillId="74" borderId="0" xfId="0" applyFont="1" applyFill="1" applyAlignment="1">
      <alignment vertical="center"/>
    </xf>
    <xf numFmtId="188" fontId="33" fillId="0" borderId="0" xfId="0" applyNumberFormat="1" applyFont="1" applyAlignment="1">
      <alignment vertical="center"/>
    </xf>
    <xf numFmtId="186" fontId="33" fillId="0" borderId="0" xfId="951" applyNumberFormat="1" applyFont="1" applyAlignment="1">
      <alignment vertical="center"/>
    </xf>
    <xf numFmtId="1" fontId="72" fillId="0" borderId="0" xfId="0" applyNumberFormat="1" applyFont="1" applyFill="1"/>
    <xf numFmtId="3" fontId="72" fillId="0" borderId="0" xfId="0" applyNumberFormat="1" applyFont="1" applyFill="1"/>
    <xf numFmtId="167" fontId="33" fillId="0" borderId="0" xfId="828" applyNumberFormat="1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17" fontId="31" fillId="0" borderId="0" xfId="0" applyNumberFormat="1" applyFont="1" applyAlignment="1">
      <alignment horizontal="center"/>
    </xf>
    <xf numFmtId="3" fontId="33" fillId="0" borderId="29" xfId="0" applyNumberFormat="1" applyFont="1" applyBorder="1" applyAlignment="1">
      <alignment horizontal="right" vertical="center"/>
    </xf>
    <xf numFmtId="3" fontId="32" fillId="96" borderId="57" xfId="0" applyNumberFormat="1" applyFont="1" applyFill="1" applyBorder="1" applyAlignment="1">
      <alignment horizontal="right" vertical="center"/>
    </xf>
    <xf numFmtId="0" fontId="33" fillId="0" borderId="29" xfId="0" applyFont="1" applyBorder="1" applyAlignment="1">
      <alignment vertical="center"/>
    </xf>
    <xf numFmtId="0" fontId="33" fillId="0" borderId="30" xfId="0" applyFont="1" applyBorder="1" applyAlignment="1">
      <alignment horizontal="right" vertical="center"/>
    </xf>
    <xf numFmtId="0" fontId="4" fillId="0" borderId="0" xfId="904" applyFont="1" applyFill="1" applyAlignment="1">
      <alignment horizontal="center"/>
    </xf>
    <xf numFmtId="167" fontId="33" fillId="0" borderId="0" xfId="828" applyNumberFormat="1" applyFont="1"/>
    <xf numFmtId="0" fontId="73" fillId="0" borderId="0" xfId="0" applyFont="1"/>
    <xf numFmtId="164" fontId="33" fillId="0" borderId="0" xfId="828" applyFont="1" applyBorder="1" applyAlignment="1">
      <alignment vertical="center"/>
    </xf>
    <xf numFmtId="10" fontId="33" fillId="0" borderId="0" xfId="951" applyNumberFormat="1" applyFont="1" applyAlignment="1">
      <alignment vertical="center"/>
    </xf>
    <xf numFmtId="0" fontId="33" fillId="0" borderId="0" xfId="0" applyFont="1" applyFill="1" applyBorder="1"/>
    <xf numFmtId="0" fontId="32" fillId="96" borderId="15" xfId="0" quotePrefix="1" applyFont="1" applyFill="1" applyBorder="1" applyAlignment="1">
      <alignment horizontal="left" vertical="center" wrapText="1"/>
    </xf>
    <xf numFmtId="0" fontId="32" fillId="96" borderId="15" xfId="0" applyFont="1" applyFill="1" applyBorder="1" applyAlignment="1">
      <alignment horizontal="center" vertical="center" wrapText="1"/>
    </xf>
    <xf numFmtId="0" fontId="32" fillId="0" borderId="29" xfId="0" applyFont="1" applyFill="1" applyBorder="1" applyAlignment="1">
      <alignment vertical="center" wrapText="1"/>
    </xf>
    <xf numFmtId="186" fontId="33" fillId="0" borderId="37" xfId="951" applyNumberFormat="1" applyFont="1" applyBorder="1" applyAlignment="1">
      <alignment horizontal="right" vertical="center" wrapText="1"/>
    </xf>
    <xf numFmtId="0" fontId="32" fillId="96" borderId="57" xfId="0" applyFont="1" applyFill="1" applyBorder="1" applyAlignment="1">
      <alignment vertical="center"/>
    </xf>
    <xf numFmtId="186" fontId="32" fillId="96" borderId="15" xfId="951" applyNumberFormat="1" applyFont="1" applyFill="1" applyBorder="1" applyAlignment="1">
      <alignment horizontal="right" vertical="center" wrapText="1"/>
    </xf>
    <xf numFmtId="10" fontId="33" fillId="0" borderId="37" xfId="951" applyNumberFormat="1" applyFont="1" applyBorder="1" applyAlignment="1">
      <alignment horizontal="right" vertical="center" wrapText="1"/>
    </xf>
    <xf numFmtId="17" fontId="32" fillId="96" borderId="15" xfId="0" quotePrefix="1" applyNumberFormat="1" applyFont="1" applyFill="1" applyBorder="1" applyAlignment="1">
      <alignment horizontal="left" vertical="center" wrapText="1"/>
    </xf>
    <xf numFmtId="17" fontId="32" fillId="96" borderId="15" xfId="0" quotePrefix="1" applyNumberFormat="1" applyFont="1" applyFill="1" applyBorder="1" applyAlignment="1">
      <alignment horizontal="center" vertical="center" wrapText="1"/>
    </xf>
    <xf numFmtId="167" fontId="33" fillId="0" borderId="37" xfId="828" applyNumberFormat="1" applyFont="1" applyBorder="1" applyAlignment="1">
      <alignment vertical="center"/>
    </xf>
    <xf numFmtId="0" fontId="33" fillId="0" borderId="27" xfId="0" applyFont="1" applyBorder="1" applyAlignment="1">
      <alignment vertical="center"/>
    </xf>
    <xf numFmtId="167" fontId="33" fillId="0" borderId="27" xfId="828" applyNumberFormat="1" applyFont="1" applyBorder="1" applyAlignment="1">
      <alignment vertical="center"/>
    </xf>
    <xf numFmtId="0" fontId="32" fillId="96" borderId="57" xfId="0" applyFont="1" applyFill="1" applyBorder="1" applyAlignment="1">
      <alignment horizontal="left" vertical="center" wrapText="1"/>
    </xf>
    <xf numFmtId="17" fontId="32" fillId="96" borderId="15" xfId="0" applyNumberFormat="1" applyFont="1" applyFill="1" applyBorder="1" applyAlignment="1">
      <alignment horizontal="center" vertical="center" wrapText="1"/>
    </xf>
    <xf numFmtId="0" fontId="32" fillId="96" borderId="15" xfId="0" quotePrefix="1" applyFont="1" applyFill="1" applyBorder="1" applyAlignment="1">
      <alignment horizontal="center" vertical="center" wrapText="1"/>
    </xf>
    <xf numFmtId="0" fontId="33" fillId="96" borderId="15" xfId="0" applyFont="1" applyFill="1" applyBorder="1" applyAlignment="1">
      <alignment horizontal="right" vertical="center"/>
    </xf>
    <xf numFmtId="0" fontId="33" fillId="0" borderId="29" xfId="0" applyFont="1" applyBorder="1" applyAlignment="1">
      <alignment vertical="center" wrapText="1"/>
    </xf>
    <xf numFmtId="0" fontId="33" fillId="0" borderId="30" xfId="0" applyFont="1" applyBorder="1" applyAlignment="1">
      <alignment vertical="center"/>
    </xf>
    <xf numFmtId="0" fontId="33" fillId="0" borderId="27" xfId="0" applyFont="1" applyBorder="1" applyAlignment="1">
      <alignment horizontal="center" vertical="center"/>
    </xf>
    <xf numFmtId="2" fontId="33" fillId="0" borderId="27" xfId="0" applyNumberFormat="1" applyFont="1" applyBorder="1" applyAlignment="1">
      <alignment vertical="center"/>
    </xf>
    <xf numFmtId="186" fontId="33" fillId="0" borderId="27" xfId="951" applyNumberFormat="1" applyFont="1" applyBorder="1" applyAlignment="1">
      <alignment horizontal="right" vertical="center" wrapText="1"/>
    </xf>
    <xf numFmtId="0" fontId="32" fillId="96" borderId="15" xfId="0" applyFont="1" applyFill="1" applyBorder="1" applyAlignment="1">
      <alignment horizontal="left" vertical="center" wrapText="1"/>
    </xf>
    <xf numFmtId="0" fontId="32" fillId="0" borderId="29" xfId="0" applyFont="1" applyFill="1" applyBorder="1" applyAlignment="1">
      <alignment horizontal="left" vertical="center" wrapText="1"/>
    </xf>
    <xf numFmtId="0" fontId="32" fillId="0" borderId="29" xfId="0" applyFont="1" applyBorder="1" applyAlignment="1">
      <alignment vertical="center"/>
    </xf>
    <xf numFmtId="186" fontId="32" fillId="0" borderId="37" xfId="951" applyNumberFormat="1" applyFont="1" applyBorder="1" applyAlignment="1">
      <alignment horizontal="right" vertical="center" wrapText="1"/>
    </xf>
    <xf numFmtId="188" fontId="32" fillId="96" borderId="15" xfId="0" applyNumberFormat="1" applyFont="1" applyFill="1" applyBorder="1" applyAlignment="1">
      <alignment horizontal="right" vertical="center"/>
    </xf>
    <xf numFmtId="0" fontId="33" fillId="0" borderId="29" xfId="0" applyFont="1" applyBorder="1" applyAlignment="1">
      <alignment horizontal="left" vertical="center"/>
    </xf>
    <xf numFmtId="17" fontId="32" fillId="96" borderId="57" xfId="0" applyNumberFormat="1" applyFont="1" applyFill="1" applyBorder="1" applyAlignment="1">
      <alignment horizontal="left" vertical="center" wrapText="1"/>
    </xf>
    <xf numFmtId="186" fontId="32" fillId="96" borderId="15" xfId="951" applyNumberFormat="1" applyFont="1" applyFill="1" applyBorder="1" applyAlignment="1">
      <alignment horizontal="right" vertical="center"/>
    </xf>
    <xf numFmtId="0" fontId="33" fillId="0" borderId="37" xfId="0" applyFont="1" applyFill="1" applyBorder="1" applyAlignment="1">
      <alignment vertical="center" wrapText="1"/>
    </xf>
    <xf numFmtId="17" fontId="33" fillId="0" borderId="37" xfId="0" applyNumberFormat="1" applyFont="1" applyFill="1" applyBorder="1" applyAlignment="1">
      <alignment horizontal="center" vertical="center" wrapText="1"/>
    </xf>
    <xf numFmtId="186" fontId="33" fillId="0" borderId="37" xfId="951" applyNumberFormat="1" applyFont="1" applyBorder="1" applyAlignment="1">
      <alignment vertical="center"/>
    </xf>
    <xf numFmtId="188" fontId="32" fillId="96" borderId="57" xfId="0" applyNumberFormat="1" applyFont="1" applyFill="1" applyBorder="1" applyAlignment="1">
      <alignment horizontal="right" vertical="center"/>
    </xf>
    <xf numFmtId="186" fontId="32" fillId="96" borderId="15" xfId="951" applyNumberFormat="1" applyFont="1" applyFill="1" applyBorder="1" applyAlignment="1">
      <alignment vertical="center"/>
    </xf>
    <xf numFmtId="0" fontId="32" fillId="96" borderId="57" xfId="0" applyFont="1" applyFill="1" applyBorder="1" applyAlignment="1">
      <alignment horizontal="left" vertical="center"/>
    </xf>
    <xf numFmtId="10" fontId="33" fillId="0" borderId="27" xfId="951" applyNumberFormat="1" applyFont="1" applyBorder="1" applyAlignment="1">
      <alignment horizontal="right" vertical="center" wrapText="1"/>
    </xf>
    <xf numFmtId="17" fontId="32" fillId="96" borderId="30" xfId="0" quotePrefix="1" applyNumberFormat="1" applyFont="1" applyFill="1" applyBorder="1" applyAlignment="1">
      <alignment horizontal="left" vertical="center" wrapText="1"/>
    </xf>
    <xf numFmtId="3" fontId="32" fillId="96" borderId="27" xfId="0" applyNumberFormat="1" applyFont="1" applyFill="1" applyBorder="1" applyAlignment="1">
      <alignment horizontal="right" vertical="center"/>
    </xf>
    <xf numFmtId="3" fontId="32" fillId="96" borderId="30" xfId="0" applyNumberFormat="1" applyFont="1" applyFill="1" applyBorder="1" applyAlignment="1">
      <alignment horizontal="right" vertical="center"/>
    </xf>
    <xf numFmtId="186" fontId="32" fillId="96" borderId="27" xfId="951" applyNumberFormat="1" applyFont="1" applyFill="1" applyBorder="1" applyAlignment="1">
      <alignment horizontal="right" vertical="center" wrapText="1"/>
    </xf>
    <xf numFmtId="188" fontId="33" fillId="0" borderId="0" xfId="0" applyNumberFormat="1" applyFont="1" applyBorder="1" applyAlignment="1">
      <alignment horizontal="right" vertical="center"/>
    </xf>
    <xf numFmtId="0" fontId="32" fillId="96" borderId="57" xfId="0" applyFont="1" applyFill="1" applyBorder="1" applyAlignment="1">
      <alignment vertical="center" wrapText="1"/>
    </xf>
    <xf numFmtId="17" fontId="32" fillId="96" borderId="70" xfId="0" applyNumberFormat="1" applyFont="1" applyFill="1" applyBorder="1" applyAlignment="1">
      <alignment horizontal="center" vertical="center" wrapText="1"/>
    </xf>
    <xf numFmtId="0" fontId="33" fillId="0" borderId="29" xfId="0" applyFont="1" applyBorder="1" applyAlignment="1">
      <alignment horizontal="justify" vertical="center"/>
    </xf>
    <xf numFmtId="0" fontId="33" fillId="0" borderId="30" xfId="0" applyFont="1" applyBorder="1" applyAlignment="1">
      <alignment horizontal="left" vertical="center"/>
    </xf>
    <xf numFmtId="0" fontId="32" fillId="0" borderId="29" xfId="0" applyFont="1" applyBorder="1" applyAlignment="1">
      <alignment horizontal="left" vertical="center"/>
    </xf>
    <xf numFmtId="189" fontId="75" fillId="75" borderId="42" xfId="0" applyNumberFormat="1" applyFont="1" applyFill="1" applyBorder="1" applyAlignment="1">
      <alignment horizontal="center" vertical="center"/>
    </xf>
    <xf numFmtId="190" fontId="75" fillId="75" borderId="43" xfId="0" applyNumberFormat="1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left" vertical="center"/>
    </xf>
    <xf numFmtId="0" fontId="75" fillId="0" borderId="0" xfId="0" applyFont="1" applyFill="1" applyBorder="1" applyAlignment="1">
      <alignment horizontal="left" vertical="center" indent="1"/>
    </xf>
    <xf numFmtId="0" fontId="75" fillId="0" borderId="0" xfId="0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left" vertical="center" indent="2"/>
    </xf>
    <xf numFmtId="3" fontId="76" fillId="0" borderId="0" xfId="0" applyNumberFormat="1" applyFont="1" applyFill="1" applyBorder="1" applyAlignment="1">
      <alignment vertical="center"/>
    </xf>
    <xf numFmtId="0" fontId="76" fillId="0" borderId="44" xfId="0" applyFont="1" applyFill="1" applyBorder="1" applyAlignment="1">
      <alignment horizontal="left" vertical="center" indent="3"/>
    </xf>
    <xf numFmtId="0" fontId="76" fillId="0" borderId="44" xfId="0" applyFont="1" applyFill="1" applyBorder="1" applyAlignment="1">
      <alignment horizontal="center" vertical="center"/>
    </xf>
    <xf numFmtId="3" fontId="76" fillId="0" borderId="44" xfId="0" applyNumberFormat="1" applyFont="1" applyFill="1" applyBorder="1" applyAlignment="1">
      <alignment vertical="center"/>
    </xf>
    <xf numFmtId="0" fontId="75" fillId="75" borderId="44" xfId="0" applyFont="1" applyFill="1" applyBorder="1" applyAlignment="1">
      <alignment horizontal="left" vertical="justify" indent="2"/>
    </xf>
    <xf numFmtId="0" fontId="75" fillId="75" borderId="44" xfId="0" applyFont="1" applyFill="1" applyBorder="1" applyAlignment="1">
      <alignment horizontal="center" vertical="center"/>
    </xf>
    <xf numFmtId="3" fontId="75" fillId="75" borderId="44" xfId="0" applyNumberFormat="1" applyFont="1" applyFill="1" applyBorder="1" applyAlignment="1">
      <alignment vertical="center"/>
    </xf>
    <xf numFmtId="0" fontId="76" fillId="0" borderId="44" xfId="0" applyFont="1" applyFill="1" applyBorder="1" applyAlignment="1">
      <alignment horizontal="left" vertical="justify" indent="3"/>
    </xf>
    <xf numFmtId="0" fontId="75" fillId="75" borderId="44" xfId="0" applyFont="1" applyFill="1" applyBorder="1" applyAlignment="1">
      <alignment horizontal="left" vertical="center" indent="2"/>
    </xf>
    <xf numFmtId="0" fontId="75" fillId="75" borderId="44" xfId="0" applyFont="1" applyFill="1" applyBorder="1" applyAlignment="1">
      <alignment horizontal="left" vertical="center" indent="3"/>
    </xf>
    <xf numFmtId="0" fontId="75" fillId="0" borderId="0" xfId="0" applyFont="1" applyFill="1" applyBorder="1" applyAlignment="1">
      <alignment horizontal="left" vertical="center" indent="3"/>
    </xf>
    <xf numFmtId="3" fontId="75" fillId="0" borderId="0" xfId="0" applyNumberFormat="1" applyFont="1" applyFill="1" applyBorder="1" applyAlignment="1">
      <alignment vertical="center"/>
    </xf>
    <xf numFmtId="0" fontId="76" fillId="0" borderId="0" xfId="0" applyFont="1" applyFill="1" applyBorder="1" applyAlignment="1">
      <alignment horizontal="left" vertical="center" indent="2"/>
    </xf>
    <xf numFmtId="0" fontId="76" fillId="0" borderId="0" xfId="0" applyFont="1" applyFill="1" applyBorder="1" applyAlignment="1">
      <alignment horizontal="left" vertical="center" indent="3"/>
    </xf>
    <xf numFmtId="0" fontId="75" fillId="0" borderId="44" xfId="0" applyFont="1" applyFill="1" applyBorder="1" applyAlignment="1">
      <alignment horizontal="left" vertical="center" wrapText="1" indent="3"/>
    </xf>
    <xf numFmtId="3" fontId="75" fillId="0" borderId="44" xfId="0" applyNumberFormat="1" applyFont="1" applyFill="1" applyBorder="1" applyAlignment="1">
      <alignment vertical="center"/>
    </xf>
    <xf numFmtId="0" fontId="75" fillId="0" borderId="44" xfId="0" applyFont="1" applyFill="1" applyBorder="1" applyAlignment="1">
      <alignment horizontal="left" vertical="center" indent="3"/>
    </xf>
    <xf numFmtId="0" fontId="76" fillId="75" borderId="44" xfId="0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vertical="center"/>
    </xf>
    <xf numFmtId="3" fontId="76" fillId="0" borderId="44" xfId="0" quotePrefix="1" applyNumberFormat="1" applyFont="1" applyFill="1" applyBorder="1" applyAlignment="1">
      <alignment horizontal="center" vertical="center"/>
    </xf>
    <xf numFmtId="0" fontId="75" fillId="75" borderId="44" xfId="0" applyFont="1" applyFill="1" applyBorder="1" applyAlignment="1">
      <alignment horizontal="left" indent="2"/>
    </xf>
    <xf numFmtId="3" fontId="75" fillId="75" borderId="44" xfId="0" applyNumberFormat="1" applyFont="1" applyFill="1" applyBorder="1" applyAlignment="1">
      <alignment horizontal="right"/>
    </xf>
    <xf numFmtId="0" fontId="76" fillId="0" borderId="0" xfId="0" applyFont="1" applyFill="1" applyBorder="1" applyAlignment="1">
      <alignment horizontal="left" vertical="center" indent="4"/>
    </xf>
    <xf numFmtId="0" fontId="74" fillId="0" borderId="0" xfId="0" applyFont="1" applyFill="1" applyBorder="1" applyAlignment="1">
      <alignment horizontal="left" vertical="center" indent="1"/>
    </xf>
    <xf numFmtId="0" fontId="74" fillId="0" borderId="0" xfId="0" applyFont="1" applyFill="1" applyBorder="1" applyAlignment="1">
      <alignment horizontal="left" vertical="center" indent="2"/>
    </xf>
    <xf numFmtId="3" fontId="74" fillId="0" borderId="0" xfId="0" applyNumberFormat="1" applyFont="1" applyFill="1" applyBorder="1" applyAlignment="1">
      <alignment vertical="center"/>
    </xf>
    <xf numFmtId="189" fontId="75" fillId="75" borderId="44" xfId="0" applyNumberFormat="1" applyFont="1" applyFill="1" applyBorder="1" applyAlignment="1">
      <alignment horizontal="center" vertical="center"/>
    </xf>
    <xf numFmtId="0" fontId="76" fillId="75" borderId="44" xfId="0" applyFont="1" applyFill="1" applyBorder="1" applyAlignment="1">
      <alignment horizontal="left" vertical="center" indent="3"/>
    </xf>
    <xf numFmtId="3" fontId="75" fillId="75" borderId="44" xfId="0" applyNumberFormat="1" applyFont="1" applyFill="1" applyBorder="1" applyAlignment="1">
      <alignment horizontal="center" vertical="center"/>
    </xf>
    <xf numFmtId="49" fontId="76" fillId="0" borderId="44" xfId="0" applyNumberFormat="1" applyFont="1" applyFill="1" applyBorder="1" applyAlignment="1">
      <alignment horizontal="center" vertical="center"/>
    </xf>
    <xf numFmtId="0" fontId="76" fillId="75" borderId="44" xfId="0" applyFont="1" applyFill="1" applyBorder="1" applyAlignment="1">
      <alignment vertical="center"/>
    </xf>
    <xf numFmtId="3" fontId="76" fillId="75" borderId="44" xfId="0" applyNumberFormat="1" applyFont="1" applyFill="1" applyBorder="1" applyAlignment="1">
      <alignment vertical="center"/>
    </xf>
    <xf numFmtId="0" fontId="76" fillId="0" borderId="44" xfId="0" applyFont="1" applyFill="1" applyBorder="1" applyAlignment="1">
      <alignment horizontal="left" vertical="center" indent="2"/>
    </xf>
    <xf numFmtId="0" fontId="76" fillId="0" borderId="53" xfId="0" applyFont="1" applyFill="1" applyBorder="1" applyAlignment="1">
      <alignment horizontal="center" vertical="center"/>
    </xf>
    <xf numFmtId="0" fontId="76" fillId="0" borderId="46" xfId="0" applyFont="1" applyFill="1" applyBorder="1" applyAlignment="1">
      <alignment horizontal="center" vertical="center"/>
    </xf>
    <xf numFmtId="0" fontId="76" fillId="0" borderId="47" xfId="0" applyFont="1" applyFill="1" applyBorder="1" applyAlignment="1">
      <alignment horizontal="center" vertical="center"/>
    </xf>
    <xf numFmtId="0" fontId="75" fillId="0" borderId="44" xfId="0" applyFont="1" applyFill="1" applyBorder="1" applyAlignment="1">
      <alignment horizontal="left" vertical="center" wrapText="1" indent="2"/>
    </xf>
    <xf numFmtId="3" fontId="76" fillId="0" borderId="46" xfId="0" applyNumberFormat="1" applyFont="1" applyFill="1" applyBorder="1" applyAlignment="1">
      <alignment horizontal="center" vertical="center"/>
    </xf>
    <xf numFmtId="0" fontId="75" fillId="0" borderId="48" xfId="0" applyFont="1" applyFill="1" applyBorder="1" applyAlignment="1">
      <alignment horizontal="center" vertical="center"/>
    </xf>
    <xf numFmtId="0" fontId="75" fillId="75" borderId="44" xfId="0" applyFont="1" applyFill="1" applyBorder="1" applyAlignment="1">
      <alignment horizontal="left" vertical="center" wrapText="1" indent="3"/>
    </xf>
    <xf numFmtId="4" fontId="76" fillId="0" borderId="44" xfId="0" applyNumberFormat="1" applyFont="1" applyFill="1" applyBorder="1" applyAlignment="1">
      <alignment vertical="center"/>
    </xf>
    <xf numFmtId="4" fontId="75" fillId="75" borderId="44" xfId="0" applyNumberFormat="1" applyFont="1" applyFill="1" applyBorder="1" applyAlignment="1">
      <alignment vertical="center"/>
    </xf>
    <xf numFmtId="0" fontId="75" fillId="0" borderId="54" xfId="0" applyFont="1" applyFill="1" applyBorder="1" applyAlignment="1">
      <alignment horizontal="center" vertical="center"/>
    </xf>
    <xf numFmtId="0" fontId="75" fillId="0" borderId="44" xfId="0" applyFont="1" applyFill="1" applyBorder="1" applyAlignment="1">
      <alignment horizontal="left" vertical="center" wrapText="1"/>
    </xf>
    <xf numFmtId="0" fontId="77" fillId="0" borderId="44" xfId="0" applyFont="1" applyFill="1" applyBorder="1" applyAlignment="1">
      <alignment vertical="center" wrapText="1"/>
    </xf>
    <xf numFmtId="0" fontId="75" fillId="0" borderId="45" xfId="0" applyFont="1" applyFill="1" applyBorder="1" applyAlignment="1">
      <alignment horizontal="left" vertical="center"/>
    </xf>
    <xf numFmtId="0" fontId="75" fillId="0" borderId="49" xfId="0" applyFont="1" applyFill="1" applyBorder="1" applyAlignment="1">
      <alignment horizontal="left" vertical="center"/>
    </xf>
    <xf numFmtId="0" fontId="75" fillId="75" borderId="44" xfId="0" applyFont="1" applyFill="1" applyBorder="1" applyAlignment="1">
      <alignment horizontal="left" vertical="justify" indent="3"/>
    </xf>
    <xf numFmtId="0" fontId="75" fillId="0" borderId="46" xfId="0" applyFont="1" applyFill="1" applyBorder="1" applyAlignment="1">
      <alignment horizontal="center" vertical="center"/>
    </xf>
    <xf numFmtId="0" fontId="75" fillId="75" borderId="44" xfId="0" applyFont="1" applyFill="1" applyBorder="1" applyAlignment="1">
      <alignment horizontal="left" vertical="center"/>
    </xf>
    <xf numFmtId="0" fontId="75" fillId="0" borderId="44" xfId="0" applyFont="1" applyFill="1" applyBorder="1" applyAlignment="1">
      <alignment horizontal="left" vertical="center"/>
    </xf>
    <xf numFmtId="0" fontId="75" fillId="0" borderId="0" xfId="0" applyFont="1" applyFill="1" applyBorder="1" applyAlignment="1">
      <alignment horizontal="left" vertical="center" wrapText="1"/>
    </xf>
    <xf numFmtId="0" fontId="76" fillId="0" borderId="0" xfId="0" applyFont="1" applyFill="1" applyBorder="1" applyAlignment="1" applyProtection="1">
      <alignment horizontal="right" vertical="center"/>
    </xf>
    <xf numFmtId="14" fontId="78" fillId="75" borderId="55" xfId="0" applyNumberFormat="1" applyFont="1" applyFill="1" applyBorder="1" applyAlignment="1">
      <alignment horizontal="center" vertical="center"/>
    </xf>
    <xf numFmtId="189" fontId="78" fillId="75" borderId="47" xfId="0" applyNumberFormat="1" applyFont="1" applyFill="1" applyBorder="1" applyAlignment="1">
      <alignment horizontal="center" vertical="center"/>
    </xf>
    <xf numFmtId="0" fontId="78" fillId="75" borderId="49" xfId="0" applyFont="1" applyFill="1" applyBorder="1" applyAlignment="1">
      <alignment horizontal="center" vertical="center"/>
    </xf>
    <xf numFmtId="0" fontId="78" fillId="75" borderId="43" xfId="0" applyFont="1" applyFill="1" applyBorder="1" applyAlignment="1">
      <alignment horizontal="center" vertical="center"/>
    </xf>
    <xf numFmtId="0" fontId="74" fillId="0" borderId="44" xfId="0" applyFont="1" applyFill="1" applyBorder="1" applyAlignment="1">
      <alignment horizontal="left" vertical="center" wrapText="1" indent="1"/>
    </xf>
    <xf numFmtId="0" fontId="74" fillId="0" borderId="44" xfId="0" applyFont="1" applyFill="1" applyBorder="1" applyAlignment="1">
      <alignment horizontal="center" vertical="center" wrapText="1"/>
    </xf>
    <xf numFmtId="3" fontId="74" fillId="0" borderId="44" xfId="0" applyNumberFormat="1" applyFont="1" applyFill="1" applyBorder="1" applyAlignment="1">
      <alignment vertical="center" wrapText="1"/>
    </xf>
    <xf numFmtId="0" fontId="78" fillId="0" borderId="44" xfId="0" applyFont="1" applyFill="1" applyBorder="1" applyAlignment="1">
      <alignment horizontal="center" vertical="center" wrapText="1"/>
    </xf>
    <xf numFmtId="0" fontId="78" fillId="75" borderId="44" xfId="0" applyFont="1" applyFill="1" applyBorder="1" applyAlignment="1">
      <alignment horizontal="left" vertical="center" wrapText="1"/>
    </xf>
    <xf numFmtId="0" fontId="78" fillId="75" borderId="44" xfId="0" applyFont="1" applyFill="1" applyBorder="1" applyAlignment="1">
      <alignment horizontal="center" vertical="center" wrapText="1"/>
    </xf>
    <xf numFmtId="3" fontId="78" fillId="75" borderId="44" xfId="0" applyNumberFormat="1" applyFont="1" applyFill="1" applyBorder="1" applyAlignment="1">
      <alignment vertical="center" wrapText="1"/>
    </xf>
    <xf numFmtId="3" fontId="79" fillId="0" borderId="44" xfId="0" applyNumberFormat="1" applyFont="1" applyFill="1" applyBorder="1" applyAlignment="1">
      <alignment vertical="center" wrapText="1"/>
    </xf>
    <xf numFmtId="0" fontId="74" fillId="0" borderId="44" xfId="0" applyFont="1" applyFill="1" applyBorder="1" applyAlignment="1">
      <alignment horizontal="left" vertical="center" wrapText="1"/>
    </xf>
    <xf numFmtId="0" fontId="74" fillId="0" borderId="44" xfId="0" applyFont="1" applyFill="1" applyBorder="1" applyAlignment="1">
      <alignment horizontal="left" vertical="center" wrapText="1" indent="2"/>
    </xf>
    <xf numFmtId="0" fontId="78" fillId="0" borderId="44" xfId="0" applyFont="1" applyFill="1" applyBorder="1" applyAlignment="1">
      <alignment horizontal="left" vertical="center" wrapText="1" indent="1"/>
    </xf>
    <xf numFmtId="3" fontId="78" fillId="0" borderId="44" xfId="0" applyNumberFormat="1" applyFont="1" applyFill="1" applyBorder="1" applyAlignment="1">
      <alignment vertical="center" wrapText="1"/>
    </xf>
    <xf numFmtId="0" fontId="79" fillId="0" borderId="44" xfId="0" applyFont="1" applyFill="1" applyBorder="1" applyAlignment="1">
      <alignment horizontal="left" vertical="center" wrapText="1"/>
    </xf>
    <xf numFmtId="191" fontId="78" fillId="75" borderId="46" xfId="840" applyNumberFormat="1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left" vertical="center" wrapText="1"/>
    </xf>
    <xf numFmtId="49" fontId="78" fillId="75" borderId="44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80" fillId="0" borderId="0" xfId="0" applyFont="1"/>
    <xf numFmtId="0" fontId="3" fillId="0" borderId="0" xfId="0" applyFont="1" applyBorder="1"/>
    <xf numFmtId="182" fontId="3" fillId="0" borderId="0" xfId="0" applyNumberFormat="1" applyFont="1" applyBorder="1"/>
    <xf numFmtId="176" fontId="3" fillId="0" borderId="0" xfId="0" applyNumberFormat="1" applyFont="1"/>
    <xf numFmtId="168" fontId="3" fillId="0" borderId="0" xfId="0" applyNumberFormat="1" applyFont="1" applyFill="1"/>
    <xf numFmtId="0" fontId="80" fillId="0" borderId="0" xfId="0" applyFont="1" applyFill="1" applyBorder="1"/>
    <xf numFmtId="0" fontId="3" fillId="0" borderId="0" xfId="0" applyFont="1" applyFill="1" applyBorder="1"/>
    <xf numFmtId="167" fontId="3" fillId="0" borderId="0" xfId="836" quotePrefix="1" applyNumberFormat="1" applyFont="1" applyBorder="1" applyAlignment="1">
      <alignment horizontal="center"/>
    </xf>
    <xf numFmtId="0" fontId="81" fillId="98" borderId="71" xfId="0" applyFont="1" applyFill="1" applyBorder="1"/>
    <xf numFmtId="0" fontId="71" fillId="98" borderId="72" xfId="0" applyFont="1" applyFill="1" applyBorder="1"/>
    <xf numFmtId="49" fontId="81" fillId="98" borderId="72" xfId="836" applyNumberFormat="1" applyFont="1" applyFill="1" applyBorder="1" applyAlignment="1">
      <alignment horizontal="center"/>
    </xf>
    <xf numFmtId="49" fontId="81" fillId="98" borderId="73" xfId="836" applyNumberFormat="1" applyFont="1" applyFill="1" applyBorder="1" applyAlignment="1">
      <alignment horizontal="center"/>
    </xf>
    <xf numFmtId="49" fontId="31" fillId="0" borderId="0" xfId="836" quotePrefix="1" applyNumberFormat="1" applyFont="1" applyFill="1" applyBorder="1" applyAlignment="1">
      <alignment horizontal="center"/>
    </xf>
    <xf numFmtId="167" fontId="31" fillId="0" borderId="0" xfId="836" quotePrefix="1" applyNumberFormat="1" applyFont="1" applyFill="1" applyAlignment="1">
      <alignment horizontal="center"/>
    </xf>
    <xf numFmtId="167" fontId="31" fillId="0" borderId="0" xfId="836" quotePrefix="1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0" fontId="31" fillId="0" borderId="74" xfId="0" applyFont="1" applyBorder="1"/>
    <xf numFmtId="0" fontId="3" fillId="0" borderId="75" xfId="0" applyFont="1" applyBorder="1"/>
    <xf numFmtId="0" fontId="3" fillId="0" borderId="76" xfId="0" applyFont="1" applyBorder="1"/>
    <xf numFmtId="0" fontId="31" fillId="0" borderId="24" xfId="0" applyFont="1" applyBorder="1"/>
    <xf numFmtId="168" fontId="3" fillId="0" borderId="0" xfId="0" applyNumberFormat="1" applyFont="1"/>
    <xf numFmtId="181" fontId="80" fillId="0" borderId="0" xfId="0" applyNumberFormat="1" applyFont="1" applyFill="1" applyBorder="1"/>
    <xf numFmtId="0" fontId="3" fillId="0" borderId="74" xfId="0" applyFont="1" applyBorder="1"/>
    <xf numFmtId="0" fontId="3" fillId="0" borderId="75" xfId="0" applyFont="1" applyBorder="1" applyAlignment="1">
      <alignment horizontal="center"/>
    </xf>
    <xf numFmtId="167" fontId="3" fillId="0" borderId="75" xfId="836" applyNumberFormat="1" applyFont="1" applyBorder="1"/>
    <xf numFmtId="167" fontId="3" fillId="0" borderId="76" xfId="836" applyNumberFormat="1" applyFont="1" applyBorder="1"/>
    <xf numFmtId="167" fontId="3" fillId="0" borderId="0" xfId="836" applyNumberFormat="1" applyFont="1" applyFill="1" applyBorder="1"/>
    <xf numFmtId="177" fontId="3" fillId="0" borderId="0" xfId="836" applyNumberFormat="1" applyFont="1"/>
    <xf numFmtId="168" fontId="3" fillId="0" borderId="26" xfId="0" applyNumberFormat="1" applyFont="1" applyBorder="1"/>
    <xf numFmtId="2" fontId="82" fillId="0" borderId="0" xfId="0" applyNumberFormat="1" applyFont="1" applyFill="1"/>
    <xf numFmtId="2" fontId="31" fillId="0" borderId="0" xfId="0" applyNumberFormat="1" applyFont="1" applyFill="1" applyBorder="1"/>
    <xf numFmtId="10" fontId="3" fillId="0" borderId="0" xfId="951" applyNumberFormat="1" applyFont="1"/>
    <xf numFmtId="186" fontId="80" fillId="0" borderId="0" xfId="951" applyNumberFormat="1" applyFont="1" applyFill="1" applyBorder="1"/>
    <xf numFmtId="0" fontId="81" fillId="98" borderId="74" xfId="0" applyFont="1" applyFill="1" applyBorder="1"/>
    <xf numFmtId="0" fontId="71" fillId="98" borderId="75" xfId="0" applyFont="1" applyFill="1" applyBorder="1"/>
    <xf numFmtId="167" fontId="81" fillId="98" borderId="75" xfId="836" applyNumberFormat="1" applyFont="1" applyFill="1" applyBorder="1"/>
    <xf numFmtId="167" fontId="81" fillId="98" borderId="76" xfId="836" applyNumberFormat="1" applyFont="1" applyFill="1" applyBorder="1"/>
    <xf numFmtId="167" fontId="31" fillId="0" borderId="0" xfId="836" applyNumberFormat="1" applyFont="1" applyFill="1" applyBorder="1"/>
    <xf numFmtId="167" fontId="3" fillId="0" borderId="0" xfId="836" applyNumberFormat="1" applyFont="1"/>
    <xf numFmtId="0" fontId="31" fillId="0" borderId="0" xfId="0" applyFont="1" applyFill="1" applyBorder="1"/>
    <xf numFmtId="167" fontId="31" fillId="0" borderId="0" xfId="836" applyNumberFormat="1" applyFont="1"/>
    <xf numFmtId="0" fontId="3" fillId="0" borderId="26" xfId="0" applyFont="1" applyFill="1" applyBorder="1"/>
    <xf numFmtId="0" fontId="81" fillId="98" borderId="77" xfId="0" applyFont="1" applyFill="1" applyBorder="1"/>
    <xf numFmtId="0" fontId="71" fillId="98" borderId="78" xfId="0" applyFont="1" applyFill="1" applyBorder="1"/>
    <xf numFmtId="167" fontId="81" fillId="98" borderId="78" xfId="836" applyNumberFormat="1" applyFont="1" applyFill="1" applyBorder="1"/>
    <xf numFmtId="167" fontId="81" fillId="98" borderId="79" xfId="836" applyNumberFormat="1" applyFont="1" applyFill="1" applyBorder="1"/>
    <xf numFmtId="2" fontId="82" fillId="0" borderId="0" xfId="951" applyNumberFormat="1" applyFont="1" applyFill="1"/>
    <xf numFmtId="10" fontId="31" fillId="0" borderId="0" xfId="0" applyNumberFormat="1" applyFont="1" applyFill="1" applyBorder="1"/>
    <xf numFmtId="0" fontId="3" fillId="0" borderId="80" xfId="0" applyFont="1" applyBorder="1"/>
    <xf numFmtId="167" fontId="3" fillId="0" borderId="0" xfId="836" applyNumberFormat="1" applyFont="1" applyBorder="1"/>
    <xf numFmtId="49" fontId="81" fillId="98" borderId="72" xfId="836" quotePrefix="1" applyNumberFormat="1" applyFont="1" applyFill="1" applyBorder="1" applyAlignment="1">
      <alignment horizontal="center"/>
    </xf>
    <xf numFmtId="0" fontId="31" fillId="0" borderId="74" xfId="0" applyFont="1" applyFill="1" applyBorder="1"/>
    <xf numFmtId="0" fontId="31" fillId="0" borderId="75" xfId="0" applyFont="1" applyFill="1" applyBorder="1" applyAlignment="1">
      <alignment horizontal="center"/>
    </xf>
    <xf numFmtId="184" fontId="3" fillId="0" borderId="75" xfId="836" applyNumberFormat="1" applyFont="1" applyFill="1" applyBorder="1"/>
    <xf numFmtId="0" fontId="83" fillId="0" borderId="0" xfId="0" applyFont="1" applyFill="1" applyBorder="1"/>
    <xf numFmtId="0" fontId="3" fillId="0" borderId="74" xfId="0" applyFont="1" applyFill="1" applyBorder="1"/>
    <xf numFmtId="0" fontId="3" fillId="0" borderId="75" xfId="0" applyFont="1" applyFill="1" applyBorder="1" applyAlignment="1">
      <alignment horizontal="center"/>
    </xf>
    <xf numFmtId="167" fontId="80" fillId="0" borderId="0" xfId="0" applyNumberFormat="1" applyFont="1" applyFill="1" applyBorder="1"/>
    <xf numFmtId="168" fontId="3" fillId="0" borderId="0" xfId="0" applyNumberFormat="1" applyFont="1" applyFill="1" applyBorder="1"/>
    <xf numFmtId="184" fontId="31" fillId="0" borderId="75" xfId="836" applyNumberFormat="1" applyFont="1" applyFill="1" applyBorder="1"/>
    <xf numFmtId="174" fontId="80" fillId="0" borderId="0" xfId="836" applyNumberFormat="1" applyFont="1" applyFill="1" applyBorder="1"/>
    <xf numFmtId="168" fontId="3" fillId="0" borderId="26" xfId="0" applyNumberFormat="1" applyFont="1" applyFill="1" applyBorder="1"/>
    <xf numFmtId="169" fontId="31" fillId="0" borderId="0" xfId="0" applyNumberFormat="1" applyFont="1" applyFill="1" applyBorder="1"/>
    <xf numFmtId="171" fontId="3" fillId="0" borderId="0" xfId="0" applyNumberFormat="1" applyFont="1" applyFill="1"/>
    <xf numFmtId="10" fontId="31" fillId="0" borderId="0" xfId="0" applyNumberFormat="1" applyFont="1" applyFill="1"/>
    <xf numFmtId="0" fontId="3" fillId="0" borderId="77" xfId="0" applyFont="1" applyFill="1" applyBorder="1"/>
    <xf numFmtId="0" fontId="3" fillId="0" borderId="78" xfId="0" applyFont="1" applyFill="1" applyBorder="1" applyAlignment="1">
      <alignment horizontal="center"/>
    </xf>
    <xf numFmtId="184" fontId="3" fillId="0" borderId="78" xfId="836" applyNumberFormat="1" applyFont="1" applyFill="1" applyBorder="1"/>
    <xf numFmtId="184" fontId="3" fillId="0" borderId="0" xfId="836" applyNumberFormat="1" applyFont="1" applyBorder="1"/>
    <xf numFmtId="186" fontId="3" fillId="0" borderId="0" xfId="951" applyNumberFormat="1" applyFont="1" applyBorder="1"/>
    <xf numFmtId="174" fontId="3" fillId="0" borderId="0" xfId="836" applyNumberFormat="1" applyFont="1"/>
    <xf numFmtId="167" fontId="81" fillId="98" borderId="72" xfId="836" quotePrefix="1" applyNumberFormat="1" applyFont="1" applyFill="1" applyBorder="1" applyAlignment="1">
      <alignment horizontal="center"/>
    </xf>
    <xf numFmtId="167" fontId="81" fillId="98" borderId="73" xfId="836" quotePrefix="1" applyNumberFormat="1" applyFont="1" applyFill="1" applyBorder="1" applyAlignment="1">
      <alignment horizontal="center"/>
    </xf>
    <xf numFmtId="184" fontId="3" fillId="0" borderId="75" xfId="836" applyNumberFormat="1" applyFont="1" applyBorder="1"/>
    <xf numFmtId="184" fontId="3" fillId="0" borderId="76" xfId="836" applyNumberFormat="1" applyFont="1" applyBorder="1"/>
    <xf numFmtId="180" fontId="3" fillId="0" borderId="0" xfId="0" applyNumberFormat="1" applyFont="1"/>
    <xf numFmtId="185" fontId="3" fillId="0" borderId="0" xfId="951" applyNumberFormat="1" applyFont="1"/>
    <xf numFmtId="172" fontId="31" fillId="0" borderId="0" xfId="0" applyNumberFormat="1" applyFont="1" applyFill="1"/>
    <xf numFmtId="184" fontId="31" fillId="0" borderId="75" xfId="836" applyNumberFormat="1" applyFont="1" applyBorder="1"/>
    <xf numFmtId="184" fontId="31" fillId="0" borderId="76" xfId="836" applyNumberFormat="1" applyFont="1" applyBorder="1"/>
    <xf numFmtId="168" fontId="31" fillId="0" borderId="0" xfId="0" applyNumberFormat="1" applyFont="1"/>
    <xf numFmtId="0" fontId="71" fillId="98" borderId="78" xfId="0" applyFont="1" applyFill="1" applyBorder="1" applyAlignment="1">
      <alignment horizontal="center"/>
    </xf>
    <xf numFmtId="184" fontId="81" fillId="98" borderId="78" xfId="836" applyNumberFormat="1" applyFont="1" applyFill="1" applyBorder="1"/>
    <xf numFmtId="171" fontId="31" fillId="0" borderId="0" xfId="0" applyNumberFormat="1" applyFont="1" applyFill="1" applyBorder="1"/>
    <xf numFmtId="10" fontId="80" fillId="0" borderId="0" xfId="951" applyNumberFormat="1" applyFont="1" applyFill="1" applyBorder="1"/>
    <xf numFmtId="0" fontId="3" fillId="99" borderId="71" xfId="0" applyFont="1" applyFill="1" applyBorder="1"/>
    <xf numFmtId="49" fontId="3" fillId="99" borderId="72" xfId="836" applyNumberFormat="1" applyFont="1" applyFill="1" applyBorder="1" applyAlignment="1">
      <alignment horizontal="left"/>
    </xf>
    <xf numFmtId="167" fontId="3" fillId="99" borderId="73" xfId="836" applyNumberFormat="1" applyFont="1" applyFill="1" applyBorder="1"/>
    <xf numFmtId="0" fontId="3" fillId="99" borderId="74" xfId="0" applyFont="1" applyFill="1" applyBorder="1"/>
    <xf numFmtId="49" fontId="3" fillId="99" borderId="75" xfId="836" applyNumberFormat="1" applyFont="1" applyFill="1" applyBorder="1" applyAlignment="1">
      <alignment horizontal="left"/>
    </xf>
    <xf numFmtId="167" fontId="3" fillId="99" borderId="76" xfId="836" applyNumberFormat="1" applyFont="1" applyFill="1" applyBorder="1"/>
    <xf numFmtId="184" fontId="3" fillId="99" borderId="76" xfId="836" applyNumberFormat="1" applyFont="1" applyFill="1" applyBorder="1"/>
    <xf numFmtId="10" fontId="3" fillId="0" borderId="0" xfId="951" applyNumberFormat="1" applyFont="1" applyFill="1"/>
    <xf numFmtId="0" fontId="3" fillId="99" borderId="77" xfId="0" applyFont="1" applyFill="1" applyBorder="1"/>
    <xf numFmtId="49" fontId="3" fillId="99" borderId="78" xfId="836" applyNumberFormat="1" applyFont="1" applyFill="1" applyBorder="1" applyAlignment="1">
      <alignment horizontal="left"/>
    </xf>
    <xf numFmtId="184" fontId="3" fillId="99" borderId="79" xfId="836" applyNumberFormat="1" applyFont="1" applyFill="1" applyBorder="1"/>
    <xf numFmtId="49" fontId="81" fillId="98" borderId="71" xfId="836" applyNumberFormat="1" applyFont="1" applyFill="1" applyBorder="1" applyAlignment="1">
      <alignment horizontal="left"/>
    </xf>
    <xf numFmtId="10" fontId="80" fillId="0" borderId="0" xfId="0" applyNumberFormat="1" applyFont="1" applyFill="1"/>
    <xf numFmtId="0" fontId="3" fillId="0" borderId="75" xfId="0" applyFont="1" applyFill="1" applyBorder="1"/>
    <xf numFmtId="0" fontId="3" fillId="0" borderId="76" xfId="0" applyFont="1" applyFill="1" applyBorder="1"/>
    <xf numFmtId="167" fontId="3" fillId="0" borderId="0" xfId="0" applyNumberFormat="1" applyFont="1" applyFill="1"/>
    <xf numFmtId="171" fontId="3" fillId="0" borderId="0" xfId="0" applyNumberFormat="1" applyFont="1" applyFill="1" applyBorder="1"/>
    <xf numFmtId="168" fontId="80" fillId="0" borderId="0" xfId="0" applyNumberFormat="1" applyFont="1" applyFill="1"/>
    <xf numFmtId="172" fontId="31" fillId="0" borderId="0" xfId="0" applyNumberFormat="1" applyFont="1" applyFill="1" applyBorder="1"/>
    <xf numFmtId="0" fontId="71" fillId="98" borderId="77" xfId="0" applyFont="1" applyFill="1" applyBorder="1"/>
    <xf numFmtId="181" fontId="81" fillId="98" borderId="78" xfId="0" applyNumberFormat="1" applyFont="1" applyFill="1" applyBorder="1"/>
    <xf numFmtId="181" fontId="81" fillId="98" borderId="79" xfId="0" applyNumberFormat="1" applyFont="1" applyFill="1" applyBorder="1"/>
    <xf numFmtId="181" fontId="31" fillId="0" borderId="0" xfId="0" applyNumberFormat="1" applyFont="1"/>
    <xf numFmtId="167" fontId="3" fillId="0" borderId="0" xfId="828" applyNumberFormat="1" applyFont="1"/>
    <xf numFmtId="174" fontId="3" fillId="0" borderId="0" xfId="836" applyNumberFormat="1" applyFont="1" applyFill="1"/>
    <xf numFmtId="170" fontId="3" fillId="0" borderId="26" xfId="0" applyNumberFormat="1" applyFont="1" applyFill="1" applyBorder="1"/>
    <xf numFmtId="175" fontId="3" fillId="0" borderId="26" xfId="836" applyNumberFormat="1" applyFont="1" applyBorder="1"/>
    <xf numFmtId="170" fontId="3" fillId="0" borderId="0" xfId="0" applyNumberFormat="1" applyFont="1" applyFill="1" applyBorder="1"/>
    <xf numFmtId="183" fontId="3" fillId="0" borderId="0" xfId="0" applyNumberFormat="1" applyFont="1"/>
    <xf numFmtId="10" fontId="84" fillId="0" borderId="0" xfId="0" applyNumberFormat="1" applyFont="1" applyFill="1"/>
    <xf numFmtId="167" fontId="81" fillId="98" borderId="72" xfId="836" quotePrefix="1" applyNumberFormat="1" applyFont="1" applyFill="1" applyBorder="1" applyAlignment="1">
      <alignment horizontal="center" vertical="center"/>
    </xf>
    <xf numFmtId="167" fontId="81" fillId="98" borderId="73" xfId="836" quotePrefix="1" applyNumberFormat="1" applyFont="1" applyFill="1" applyBorder="1" applyAlignment="1">
      <alignment horizontal="center" vertical="center"/>
    </xf>
    <xf numFmtId="188" fontId="3" fillId="0" borderId="75" xfId="0" applyNumberFormat="1" applyFont="1" applyBorder="1" applyAlignment="1">
      <alignment horizontal="right"/>
    </xf>
    <xf numFmtId="188" fontId="3" fillId="0" borderId="76" xfId="0" applyNumberFormat="1" applyFont="1" applyBorder="1" applyAlignment="1">
      <alignment horizontal="right"/>
    </xf>
    <xf numFmtId="188" fontId="3" fillId="0" borderId="0" xfId="0" applyNumberFormat="1" applyFont="1"/>
    <xf numFmtId="0" fontId="85" fillId="0" borderId="0" xfId="0" applyFont="1" applyBorder="1"/>
    <xf numFmtId="0" fontId="56" fillId="0" borderId="0" xfId="0" applyFont="1" applyBorder="1"/>
    <xf numFmtId="168" fontId="56" fillId="0" borderId="0" xfId="0" applyNumberFormat="1" applyFont="1" applyBorder="1"/>
    <xf numFmtId="168" fontId="56" fillId="0" borderId="0" xfId="0" applyNumberFormat="1" applyFont="1" applyFill="1" applyBorder="1"/>
    <xf numFmtId="178" fontId="80" fillId="0" borderId="0" xfId="0" applyNumberFormat="1" applyFont="1" applyFill="1" applyBorder="1"/>
    <xf numFmtId="2" fontId="56" fillId="0" borderId="0" xfId="0" applyNumberFormat="1" applyFont="1" applyFill="1" applyBorder="1"/>
    <xf numFmtId="10" fontId="3" fillId="0" borderId="0" xfId="951" applyNumberFormat="1" applyFont="1" applyBorder="1"/>
    <xf numFmtId="10" fontId="56" fillId="0" borderId="0" xfId="0" applyNumberFormat="1" applyFont="1" applyFill="1" applyBorder="1"/>
    <xf numFmtId="0" fontId="56" fillId="0" borderId="0" xfId="0" quotePrefix="1" applyFont="1" applyBorder="1"/>
    <xf numFmtId="173" fontId="31" fillId="0" borderId="0" xfId="0" applyNumberFormat="1" applyFont="1" applyFill="1" applyBorder="1"/>
    <xf numFmtId="188" fontId="31" fillId="0" borderId="75" xfId="0" applyNumberFormat="1" applyFont="1" applyBorder="1" applyAlignment="1">
      <alignment horizontal="right"/>
    </xf>
    <xf numFmtId="0" fontId="31" fillId="0" borderId="0" xfId="0" applyFont="1" applyBorder="1"/>
    <xf numFmtId="168" fontId="3" fillId="0" borderId="0" xfId="0" applyNumberFormat="1" applyFont="1" applyBorder="1"/>
    <xf numFmtId="179" fontId="3" fillId="0" borderId="0" xfId="0" applyNumberFormat="1" applyFont="1" applyFill="1"/>
    <xf numFmtId="10" fontId="3" fillId="0" borderId="0" xfId="0" applyNumberFormat="1" applyFont="1" applyFill="1"/>
    <xf numFmtId="0" fontId="86" fillId="0" borderId="74" xfId="0" applyFont="1" applyBorder="1"/>
    <xf numFmtId="188" fontId="86" fillId="0" borderId="75" xfId="0" applyNumberFormat="1" applyFont="1" applyBorder="1" applyAlignment="1">
      <alignment horizontal="right"/>
    </xf>
    <xf numFmtId="0" fontId="31" fillId="0" borderId="77" xfId="0" applyFont="1" applyBorder="1"/>
    <xf numFmtId="188" fontId="31" fillId="0" borderId="78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0" xfId="0" applyNumberFormat="1" applyFont="1" applyFill="1"/>
    <xf numFmtId="182" fontId="3" fillId="0" borderId="0" xfId="0" applyNumberFormat="1" applyFont="1" applyFill="1"/>
    <xf numFmtId="186" fontId="3" fillId="0" borderId="0" xfId="951" applyNumberFormat="1" applyFont="1" applyFill="1" applyBorder="1"/>
    <xf numFmtId="0" fontId="87" fillId="0" borderId="24" xfId="0" applyFont="1" applyBorder="1"/>
    <xf numFmtId="0" fontId="88" fillId="0" borderId="0" xfId="0" applyFont="1"/>
    <xf numFmtId="168" fontId="88" fillId="0" borderId="0" xfId="0" applyNumberFormat="1" applyFont="1"/>
    <xf numFmtId="168" fontId="88" fillId="0" borderId="0" xfId="0" applyNumberFormat="1" applyFont="1" applyFill="1"/>
    <xf numFmtId="0" fontId="88" fillId="0" borderId="0" xfId="0" applyFont="1" applyFill="1" applyBorder="1"/>
    <xf numFmtId="167" fontId="88" fillId="0" borderId="0" xfId="836" applyNumberFormat="1" applyFont="1"/>
    <xf numFmtId="187" fontId="88" fillId="0" borderId="0" xfId="0" applyNumberFormat="1" applyFont="1"/>
    <xf numFmtId="168" fontId="88" fillId="0" borderId="0" xfId="0" applyNumberFormat="1" applyFont="1" applyFill="1" applyBorder="1"/>
    <xf numFmtId="0" fontId="88" fillId="0" borderId="0" xfId="0" applyFont="1" applyFill="1"/>
    <xf numFmtId="0" fontId="87" fillId="0" borderId="0" xfId="0" applyFont="1"/>
    <xf numFmtId="168" fontId="87" fillId="0" borderId="0" xfId="0" applyNumberFormat="1" applyFont="1"/>
    <xf numFmtId="2" fontId="88" fillId="0" borderId="0" xfId="0" applyNumberFormat="1" applyFont="1" applyFill="1"/>
    <xf numFmtId="10" fontId="88" fillId="0" borderId="0" xfId="951" applyNumberFormat="1" applyFont="1"/>
    <xf numFmtId="2" fontId="88" fillId="0" borderId="0" xfId="951" applyNumberFormat="1" applyFont="1" applyFill="1"/>
    <xf numFmtId="10" fontId="88" fillId="0" borderId="0" xfId="951" applyNumberFormat="1" applyFont="1" applyFill="1" applyBorder="1"/>
    <xf numFmtId="3" fontId="33" fillId="0" borderId="29" xfId="828" applyNumberFormat="1" applyFont="1" applyBorder="1" applyAlignment="1">
      <alignment vertical="center"/>
    </xf>
    <xf numFmtId="0" fontId="32" fillId="97" borderId="0" xfId="0" applyFont="1" applyFill="1" applyAlignment="1">
      <alignment horizontal="center"/>
    </xf>
    <xf numFmtId="0" fontId="32" fillId="97" borderId="61" xfId="0" applyFont="1" applyFill="1" applyBorder="1" applyAlignment="1">
      <alignment horizontal="center"/>
    </xf>
    <xf numFmtId="0" fontId="32" fillId="97" borderId="62" xfId="0" applyFont="1" applyFill="1" applyBorder="1" applyAlignment="1">
      <alignment horizontal="center"/>
    </xf>
    <xf numFmtId="0" fontId="89" fillId="97" borderId="64" xfId="0" applyFont="1" applyFill="1" applyBorder="1" applyAlignment="1">
      <alignment horizontal="center"/>
    </xf>
    <xf numFmtId="0" fontId="32" fillId="97" borderId="65" xfId="0" applyFont="1" applyFill="1" applyBorder="1" applyAlignment="1">
      <alignment horizontal="center"/>
    </xf>
    <xf numFmtId="0" fontId="32" fillId="97" borderId="65" xfId="0" applyFont="1" applyFill="1" applyBorder="1" applyAlignment="1">
      <alignment horizontal="center" wrapText="1"/>
    </xf>
    <xf numFmtId="0" fontId="33" fillId="0" borderId="66" xfId="0" applyFont="1" applyBorder="1" applyAlignment="1">
      <alignment horizontal="left" indent="1"/>
    </xf>
    <xf numFmtId="3" fontId="33" fillId="0" borderId="0" xfId="0" applyNumberFormat="1" applyFont="1" applyAlignment="1">
      <alignment horizontal="right"/>
    </xf>
    <xf numFmtId="10" fontId="33" fillId="0" borderId="65" xfId="0" applyNumberFormat="1" applyFont="1" applyBorder="1" applyAlignment="1">
      <alignment horizontal="right"/>
    </xf>
    <xf numFmtId="3" fontId="33" fillId="0" borderId="0" xfId="0" applyNumberFormat="1" applyFont="1" applyAlignment="1">
      <alignment horizontal="right" wrapText="1"/>
    </xf>
    <xf numFmtId="10" fontId="33" fillId="0" borderId="65" xfId="0" applyNumberFormat="1" applyFont="1" applyBorder="1" applyAlignment="1">
      <alignment horizontal="right" wrapText="1"/>
    </xf>
    <xf numFmtId="0" fontId="32" fillId="97" borderId="67" xfId="0" applyFont="1" applyFill="1" applyBorder="1"/>
    <xf numFmtId="3" fontId="32" fillId="97" borderId="68" xfId="0" applyNumberFormat="1" applyFont="1" applyFill="1" applyBorder="1" applyAlignment="1">
      <alignment horizontal="right"/>
    </xf>
    <xf numFmtId="10" fontId="32" fillId="97" borderId="69" xfId="0" applyNumberFormat="1" applyFont="1" applyFill="1" applyBorder="1" applyAlignment="1">
      <alignment horizontal="right"/>
    </xf>
    <xf numFmtId="0" fontId="32" fillId="97" borderId="64" xfId="0" applyFont="1" applyFill="1" applyBorder="1"/>
    <xf numFmtId="0" fontId="90" fillId="0" borderId="66" xfId="0" applyFont="1" applyBorder="1"/>
    <xf numFmtId="0" fontId="33" fillId="0" borderId="65" xfId="0" applyFont="1" applyBorder="1" applyAlignment="1">
      <alignment horizontal="right"/>
    </xf>
    <xf numFmtId="49" fontId="0" fillId="0" borderId="0" xfId="0" applyNumberFormat="1"/>
    <xf numFmtId="3" fontId="4" fillId="100" borderId="0" xfId="904" applyNumberFormat="1" applyFont="1" applyFill="1"/>
    <xf numFmtId="3" fontId="4" fillId="0" borderId="0" xfId="904" applyNumberFormat="1" applyFont="1" applyAlignment="1">
      <alignment wrapText="1"/>
    </xf>
    <xf numFmtId="0" fontId="75" fillId="0" borderId="46" xfId="0" applyFont="1" applyFill="1" applyBorder="1" applyAlignment="1">
      <alignment horizontal="left" vertical="center"/>
    </xf>
    <xf numFmtId="0" fontId="78" fillId="75" borderId="56" xfId="0" applyFont="1" applyFill="1" applyBorder="1" applyAlignment="1">
      <alignment horizontal="center" vertical="center"/>
    </xf>
    <xf numFmtId="2" fontId="33" fillId="0" borderId="0" xfId="0" applyNumberFormat="1" applyFont="1"/>
    <xf numFmtId="10" fontId="33" fillId="0" borderId="0" xfId="951" applyNumberFormat="1" applyFont="1"/>
    <xf numFmtId="2" fontId="3" fillId="0" borderId="0" xfId="0" applyNumberFormat="1" applyFont="1"/>
    <xf numFmtId="189" fontId="75" fillId="75" borderId="84" xfId="0" applyNumberFormat="1" applyFont="1" applyFill="1" applyBorder="1" applyAlignment="1">
      <alignment horizontal="center" vertical="center"/>
    </xf>
    <xf numFmtId="189" fontId="75" fillId="75" borderId="85" xfId="0" applyNumberFormat="1" applyFont="1" applyFill="1" applyBorder="1" applyAlignment="1">
      <alignment horizontal="center" vertical="center"/>
    </xf>
    <xf numFmtId="0" fontId="75" fillId="75" borderId="87" xfId="0" applyFont="1" applyFill="1" applyBorder="1" applyAlignment="1">
      <alignment horizontal="center" vertical="center"/>
    </xf>
    <xf numFmtId="0" fontId="75" fillId="0" borderId="81" xfId="0" applyFont="1" applyFill="1" applyBorder="1" applyAlignment="1">
      <alignment horizontal="left" vertical="center"/>
    </xf>
    <xf numFmtId="0" fontId="75" fillId="0" borderId="88" xfId="0" applyFont="1" applyFill="1" applyBorder="1" applyAlignment="1">
      <alignment horizontal="center" vertical="center"/>
    </xf>
    <xf numFmtId="0" fontId="75" fillId="75" borderId="89" xfId="0" applyFont="1" applyFill="1" applyBorder="1" applyAlignment="1">
      <alignment horizontal="left" vertical="center" indent="2"/>
    </xf>
    <xf numFmtId="3" fontId="75" fillId="75" borderId="87" xfId="0" applyNumberFormat="1" applyFont="1" applyFill="1" applyBorder="1" applyAlignment="1">
      <alignment vertical="center"/>
    </xf>
    <xf numFmtId="3" fontId="76" fillId="0" borderId="87" xfId="0" applyNumberFormat="1" applyFont="1" applyFill="1" applyBorder="1" applyAlignment="1">
      <alignment vertical="center"/>
    </xf>
    <xf numFmtId="0" fontId="75" fillId="0" borderId="91" xfId="0" applyFont="1" applyFill="1" applyBorder="1" applyAlignment="1">
      <alignment horizontal="left" indent="1"/>
    </xf>
    <xf numFmtId="0" fontId="76" fillId="0" borderId="90" xfId="0" applyFont="1" applyFill="1" applyBorder="1" applyAlignment="1" applyProtection="1">
      <alignment horizontal="right" vertical="center"/>
    </xf>
    <xf numFmtId="0" fontId="75" fillId="75" borderId="89" xfId="0" applyFont="1" applyFill="1" applyBorder="1" applyAlignment="1">
      <alignment horizontal="left" vertical="center" wrapText="1" indent="3"/>
    </xf>
    <xf numFmtId="0" fontId="76" fillId="0" borderId="89" xfId="0" applyFont="1" applyFill="1" applyBorder="1" applyAlignment="1">
      <alignment horizontal="left" vertical="center" wrapText="1" indent="3"/>
    </xf>
    <xf numFmtId="0" fontId="75" fillId="75" borderId="92" xfId="0" applyFont="1" applyFill="1" applyBorder="1" applyAlignment="1">
      <alignment horizontal="left" vertical="center" indent="2"/>
    </xf>
    <xf numFmtId="0" fontId="75" fillId="75" borderId="93" xfId="0" applyFont="1" applyFill="1" applyBorder="1" applyAlignment="1">
      <alignment horizontal="left" vertical="center"/>
    </xf>
    <xf numFmtId="3" fontId="75" fillId="75" borderId="93" xfId="0" applyNumberFormat="1" applyFont="1" applyFill="1" applyBorder="1" applyAlignment="1">
      <alignment vertical="center"/>
    </xf>
    <xf numFmtId="3" fontId="75" fillId="75" borderId="94" xfId="0" applyNumberFormat="1" applyFont="1" applyFill="1" applyBorder="1" applyAlignment="1">
      <alignment vertical="center"/>
    </xf>
    <xf numFmtId="0" fontId="75" fillId="0" borderId="46" xfId="0" applyFont="1" applyFill="1" applyBorder="1" applyAlignment="1">
      <alignment horizontal="left" vertical="center" indent="2"/>
    </xf>
    <xf numFmtId="3" fontId="75" fillId="0" borderId="46" xfId="0" applyNumberFormat="1" applyFont="1" applyFill="1" applyBorder="1" applyAlignment="1">
      <alignment vertical="center"/>
    </xf>
    <xf numFmtId="0" fontId="75" fillId="0" borderId="88" xfId="0" applyFont="1" applyFill="1" applyBorder="1" applyAlignment="1">
      <alignment horizontal="left" vertical="center"/>
    </xf>
    <xf numFmtId="0" fontId="75" fillId="0" borderId="89" xfId="0" applyFont="1" applyFill="1" applyBorder="1" applyAlignment="1">
      <alignment horizontal="left" vertical="center" indent="2"/>
    </xf>
    <xf numFmtId="3" fontId="75" fillId="0" borderId="87" xfId="0" applyNumberFormat="1" applyFont="1" applyFill="1" applyBorder="1" applyAlignment="1">
      <alignment vertical="center"/>
    </xf>
    <xf numFmtId="0" fontId="75" fillId="101" borderId="44" xfId="0" applyFont="1" applyFill="1" applyBorder="1" applyAlignment="1">
      <alignment horizontal="left" vertical="center" indent="2"/>
    </xf>
    <xf numFmtId="0" fontId="75" fillId="101" borderId="44" xfId="0" applyFont="1" applyFill="1" applyBorder="1" applyAlignment="1">
      <alignment horizontal="left" vertical="center"/>
    </xf>
    <xf numFmtId="3" fontId="75" fillId="101" borderId="44" xfId="0" applyNumberFormat="1" applyFont="1" applyFill="1" applyBorder="1" applyAlignment="1">
      <alignment vertical="center"/>
    </xf>
    <xf numFmtId="3" fontId="75" fillId="101" borderId="87" xfId="0" applyNumberFormat="1" applyFont="1" applyFill="1" applyBorder="1" applyAlignment="1">
      <alignment vertical="center"/>
    </xf>
    <xf numFmtId="168" fontId="91" fillId="0" borderId="0" xfId="0" applyNumberFormat="1" applyFont="1"/>
    <xf numFmtId="0" fontId="92" fillId="0" borderId="95" xfId="0" applyFont="1" applyBorder="1"/>
    <xf numFmtId="0" fontId="93" fillId="0" borderId="0" xfId="0" applyFont="1"/>
    <xf numFmtId="3" fontId="93" fillId="0" borderId="0" xfId="0" applyNumberFormat="1" applyFont="1" applyAlignment="1">
      <alignment horizontal="right"/>
    </xf>
    <xf numFmtId="0" fontId="92" fillId="0" borderId="0" xfId="0" applyFont="1" applyAlignment="1">
      <alignment horizontal="center"/>
    </xf>
    <xf numFmtId="3" fontId="93" fillId="0" borderId="97" xfId="0" applyNumberFormat="1" applyFont="1" applyBorder="1" applyAlignment="1">
      <alignment horizontal="right"/>
    </xf>
    <xf numFmtId="0" fontId="92" fillId="0" borderId="0" xfId="0" applyFont="1"/>
    <xf numFmtId="3" fontId="92" fillId="0" borderId="0" xfId="0" applyNumberFormat="1" applyFont="1" applyAlignment="1">
      <alignment horizontal="right"/>
    </xf>
    <xf numFmtId="0" fontId="92" fillId="0" borderId="95" xfId="0" applyFont="1" applyBorder="1" applyAlignment="1">
      <alignment horizontal="center"/>
    </xf>
    <xf numFmtId="3" fontId="4" fillId="102" borderId="0" xfId="904" applyNumberFormat="1" applyFont="1" applyFill="1"/>
    <xf numFmtId="0" fontId="93" fillId="0" borderId="0" xfId="0" applyFont="1" applyAlignment="1">
      <alignment horizontal="center"/>
    </xf>
    <xf numFmtId="2" fontId="93" fillId="0" borderId="0" xfId="0" applyNumberFormat="1" applyFont="1" applyAlignment="1">
      <alignment horizontal="center"/>
    </xf>
    <xf numFmtId="0" fontId="95" fillId="0" borderId="0" xfId="0" applyFont="1"/>
    <xf numFmtId="49" fontId="94" fillId="0" borderId="0" xfId="0" applyNumberFormat="1" applyFont="1"/>
    <xf numFmtId="0" fontId="96" fillId="0" borderId="0" xfId="0" applyFont="1"/>
    <xf numFmtId="0" fontId="96" fillId="0" borderId="0" xfId="0" applyFont="1" applyAlignment="1">
      <alignment horizontal="justify"/>
    </xf>
    <xf numFmtId="186" fontId="93" fillId="0" borderId="0" xfId="0" applyNumberFormat="1" applyFont="1" applyAlignment="1">
      <alignment horizontal="center"/>
    </xf>
    <xf numFmtId="186" fontId="93" fillId="0" borderId="0" xfId="0" applyNumberFormat="1" applyFont="1" applyAlignment="1">
      <alignment horizontal="right"/>
    </xf>
    <xf numFmtId="186" fontId="93" fillId="0" borderId="97" xfId="0" applyNumberFormat="1" applyFont="1" applyBorder="1" applyAlignment="1">
      <alignment horizontal="right"/>
    </xf>
    <xf numFmtId="189" fontId="31" fillId="103" borderId="101" xfId="905" applyNumberFormat="1" applyFont="1" applyFill="1" applyBorder="1" applyAlignment="1">
      <alignment horizontal="center" vertical="center"/>
    </xf>
    <xf numFmtId="189" fontId="31" fillId="103" borderId="102" xfId="905" applyNumberFormat="1" applyFont="1" applyFill="1" applyBorder="1" applyAlignment="1">
      <alignment horizontal="center" vertical="center"/>
    </xf>
    <xf numFmtId="3" fontId="31" fillId="103" borderId="105" xfId="905" applyNumberFormat="1" applyFont="1" applyFill="1" applyBorder="1" applyAlignment="1">
      <alignment horizontal="center" vertical="top"/>
    </xf>
    <xf numFmtId="3" fontId="31" fillId="103" borderId="106" xfId="905" applyNumberFormat="1" applyFont="1" applyFill="1" applyBorder="1" applyAlignment="1">
      <alignment horizontal="center" vertical="top"/>
    </xf>
    <xf numFmtId="3" fontId="31" fillId="103" borderId="0" xfId="905" applyNumberFormat="1" applyFont="1" applyFill="1" applyBorder="1" applyAlignment="1">
      <alignment horizontal="center" vertical="top"/>
    </xf>
    <xf numFmtId="0" fontId="3" fillId="0" borderId="107" xfId="905" applyFont="1" applyFill="1" applyBorder="1" applyAlignment="1">
      <alignment horizontal="left" vertical="center" indent="3"/>
    </xf>
    <xf numFmtId="0" fontId="3" fillId="0" borderId="104" xfId="905" applyFont="1" applyFill="1" applyBorder="1" applyAlignment="1">
      <alignment horizontal="center" vertical="center"/>
    </xf>
    <xf numFmtId="3" fontId="3" fillId="0" borderId="104" xfId="905" applyNumberFormat="1" applyFont="1" applyFill="1" applyBorder="1" applyAlignment="1">
      <alignment vertical="center"/>
    </xf>
    <xf numFmtId="3" fontId="3" fillId="0" borderId="108" xfId="905" applyNumberFormat="1" applyFont="1" applyFill="1" applyBorder="1" applyAlignment="1">
      <alignment vertical="center"/>
    </xf>
    <xf numFmtId="49" fontId="3" fillId="0" borderId="104" xfId="905" applyNumberFormat="1" applyFont="1" applyFill="1" applyBorder="1" applyAlignment="1">
      <alignment horizontal="center" vertical="center"/>
    </xf>
    <xf numFmtId="0" fontId="31" fillId="103" borderId="107" xfId="905" applyFont="1" applyFill="1" applyBorder="1" applyAlignment="1">
      <alignment vertical="center"/>
    </xf>
    <xf numFmtId="0" fontId="31" fillId="103" borderId="104" xfId="905" applyFont="1" applyFill="1" applyBorder="1" applyAlignment="1">
      <alignment horizontal="center" vertical="center"/>
    </xf>
    <xf numFmtId="3" fontId="31" fillId="103" borderId="104" xfId="905" applyNumberFormat="1" applyFont="1" applyFill="1" applyBorder="1" applyAlignment="1">
      <alignment vertical="center"/>
    </xf>
    <xf numFmtId="3" fontId="31" fillId="103" borderId="108" xfId="905" applyNumberFormat="1" applyFont="1" applyFill="1" applyBorder="1" applyAlignment="1">
      <alignment vertical="center"/>
    </xf>
    <xf numFmtId="0" fontId="31" fillId="103" borderId="104" xfId="905" applyFont="1" applyFill="1" applyBorder="1" applyAlignment="1">
      <alignment horizontal="left" vertical="center" indent="3"/>
    </xf>
    <xf numFmtId="0" fontId="3" fillId="0" borderId="107" xfId="905" applyFont="1" applyFill="1" applyBorder="1" applyAlignment="1">
      <alignment horizontal="center" vertical="center"/>
    </xf>
    <xf numFmtId="0" fontId="3" fillId="0" borderId="108" xfId="905" applyFont="1" applyFill="1" applyBorder="1" applyAlignment="1">
      <alignment horizontal="center" vertical="center"/>
    </xf>
    <xf numFmtId="0" fontId="31" fillId="103" borderId="107" xfId="905" applyFont="1" applyFill="1" applyBorder="1" applyAlignment="1">
      <alignment horizontal="left" vertical="center" indent="3"/>
    </xf>
    <xf numFmtId="0" fontId="31" fillId="0" borderId="107" xfId="905" applyFont="1" applyFill="1" applyBorder="1" applyAlignment="1">
      <alignment horizontal="left" vertical="center" wrapText="1" indent="1"/>
    </xf>
    <xf numFmtId="0" fontId="3" fillId="0" borderId="104" xfId="905" applyFont="1" applyFill="1" applyBorder="1" applyAlignment="1">
      <alignment horizontal="left" vertical="center" indent="3"/>
    </xf>
    <xf numFmtId="3" fontId="3" fillId="0" borderId="104" xfId="905" applyNumberFormat="1" applyFont="1" applyFill="1" applyBorder="1" applyAlignment="1">
      <alignment horizontal="center" vertical="center"/>
    </xf>
    <xf numFmtId="0" fontId="31" fillId="0" borderId="108" xfId="905" applyFont="1" applyFill="1" applyBorder="1" applyAlignment="1">
      <alignment horizontal="center" vertical="center"/>
    </xf>
    <xf numFmtId="0" fontId="31" fillId="103" borderId="107" xfId="905" applyFont="1" applyFill="1" applyBorder="1" applyAlignment="1">
      <alignment horizontal="left" vertical="center" wrapText="1" indent="1"/>
    </xf>
    <xf numFmtId="0" fontId="3" fillId="103" borderId="107" xfId="905" applyFont="1" applyFill="1" applyBorder="1" applyAlignment="1">
      <alignment horizontal="left" vertical="center" indent="3"/>
    </xf>
    <xf numFmtId="0" fontId="3" fillId="103" borderId="104" xfId="905" applyFont="1" applyFill="1" applyBorder="1" applyAlignment="1">
      <alignment horizontal="left" vertical="center" indent="3"/>
    </xf>
    <xf numFmtId="3" fontId="3" fillId="103" borderId="104" xfId="905" applyNumberFormat="1" applyFont="1" applyFill="1" applyBorder="1" applyAlignment="1">
      <alignment vertical="center"/>
    </xf>
    <xf numFmtId="3" fontId="3" fillId="103" borderId="108" xfId="905" applyNumberFormat="1" applyFont="1" applyFill="1" applyBorder="1" applyAlignment="1">
      <alignment vertical="center"/>
    </xf>
    <xf numFmtId="0" fontId="31" fillId="0" borderId="109" xfId="905" applyFont="1" applyFill="1" applyBorder="1" applyAlignment="1">
      <alignment horizontal="center" vertical="center"/>
    </xf>
    <xf numFmtId="196" fontId="31" fillId="0" borderId="109" xfId="905" applyNumberFormat="1" applyFont="1" applyFill="1" applyBorder="1" applyAlignment="1">
      <alignment horizontal="center" vertical="center"/>
    </xf>
    <xf numFmtId="0" fontId="92" fillId="0" borderId="0" xfId="0" applyFont="1" applyAlignment="1">
      <alignment horizontal="left" indent="2"/>
    </xf>
    <xf numFmtId="0" fontId="98" fillId="0" borderId="0" xfId="0" applyFont="1"/>
    <xf numFmtId="0" fontId="99" fillId="0" borderId="0" xfId="0" applyFont="1"/>
    <xf numFmtId="0" fontId="100" fillId="0" borderId="0" xfId="0" applyFont="1"/>
    <xf numFmtId="3" fontId="98" fillId="0" borderId="0" xfId="0" applyNumberFormat="1" applyFont="1"/>
    <xf numFmtId="0" fontId="93" fillId="0" borderId="95" xfId="0" applyFont="1" applyBorder="1"/>
    <xf numFmtId="0" fontId="93" fillId="0" borderId="0" xfId="0" applyFont="1" applyAlignment="1">
      <alignment horizontal="right"/>
    </xf>
    <xf numFmtId="0" fontId="92" fillId="0" borderId="95" xfId="0" applyFont="1" applyBorder="1" applyAlignment="1">
      <alignment horizontal="center"/>
    </xf>
    <xf numFmtId="0" fontId="92" fillId="0" borderId="95" xfId="0" applyFont="1" applyBorder="1" applyAlignment="1">
      <alignment horizontal="center"/>
    </xf>
    <xf numFmtId="167" fontId="98" fillId="0" borderId="0" xfId="828" applyNumberFormat="1" applyFont="1"/>
    <xf numFmtId="167" fontId="98" fillId="0" borderId="0" xfId="0" applyNumberFormat="1" applyFont="1"/>
    <xf numFmtId="0" fontId="101" fillId="0" borderId="0" xfId="0" applyFont="1"/>
    <xf numFmtId="0" fontId="92" fillId="0" borderId="95" xfId="0" applyFont="1" applyBorder="1" applyAlignment="1">
      <alignment horizontal="right"/>
    </xf>
    <xf numFmtId="0" fontId="102" fillId="0" borderId="0" xfId="0" applyFont="1" applyAlignment="1">
      <alignment wrapText="1"/>
    </xf>
    <xf numFmtId="0" fontId="92" fillId="0" borderId="110" xfId="0" applyFont="1" applyBorder="1" applyAlignment="1">
      <alignment horizontal="center"/>
    </xf>
    <xf numFmtId="0" fontId="92" fillId="0" borderId="110" xfId="0" applyFont="1" applyBorder="1" applyAlignment="1"/>
    <xf numFmtId="3" fontId="93" fillId="0" borderId="111" xfId="0" applyNumberFormat="1" applyFont="1" applyBorder="1" applyAlignment="1"/>
    <xf numFmtId="3" fontId="93" fillId="0" borderId="0" xfId="0" applyNumberFormat="1" applyFont="1" applyAlignment="1"/>
    <xf numFmtId="10" fontId="93" fillId="0" borderId="0" xfId="0" applyNumberFormat="1" applyFont="1" applyAlignment="1"/>
    <xf numFmtId="0" fontId="93" fillId="0" borderId="0" xfId="0" applyFont="1" applyAlignment="1"/>
    <xf numFmtId="3" fontId="92" fillId="0" borderId="0" xfId="0" applyNumberFormat="1" applyFont="1" applyAlignment="1"/>
    <xf numFmtId="10" fontId="92" fillId="0" borderId="0" xfId="0" applyNumberFormat="1" applyFont="1" applyAlignment="1"/>
    <xf numFmtId="0" fontId="92" fillId="0" borderId="0" xfId="0" applyFont="1" applyAlignment="1"/>
    <xf numFmtId="10" fontId="93" fillId="0" borderId="0" xfId="0" applyNumberFormat="1" applyFont="1" applyBorder="1" applyAlignment="1"/>
    <xf numFmtId="0" fontId="92" fillId="0" borderId="0" xfId="0" applyFont="1" applyBorder="1" applyAlignment="1"/>
    <xf numFmtId="0" fontId="98" fillId="0" borderId="0" xfId="0" applyFont="1" applyBorder="1"/>
    <xf numFmtId="0" fontId="103" fillId="0" borderId="95" xfId="0" applyFont="1" applyBorder="1"/>
    <xf numFmtId="0" fontId="103" fillId="0" borderId="95" xfId="0" applyFont="1" applyBorder="1" applyAlignment="1">
      <alignment horizontal="center"/>
    </xf>
    <xf numFmtId="0" fontId="94" fillId="0" borderId="0" xfId="0" applyFont="1"/>
    <xf numFmtId="3" fontId="94" fillId="0" borderId="0" xfId="0" applyNumberFormat="1" applyFont="1" applyAlignment="1">
      <alignment horizontal="right"/>
    </xf>
    <xf numFmtId="0" fontId="93" fillId="0" borderId="95" xfId="0" applyFont="1" applyBorder="1" applyAlignment="1">
      <alignment horizontal="center"/>
    </xf>
    <xf numFmtId="3" fontId="93" fillId="0" borderId="95" xfId="0" applyNumberFormat="1" applyFont="1" applyBorder="1" applyAlignment="1">
      <alignment horizontal="right"/>
    </xf>
    <xf numFmtId="0" fontId="101" fillId="0" borderId="95" xfId="0" applyFont="1" applyBorder="1" applyAlignment="1"/>
    <xf numFmtId="0" fontId="97" fillId="0" borderId="0" xfId="0" applyFont="1" applyAlignment="1"/>
    <xf numFmtId="186" fontId="93" fillId="0" borderId="111" xfId="0" applyNumberFormat="1" applyFont="1" applyBorder="1" applyAlignment="1"/>
    <xf numFmtId="186" fontId="93" fillId="0" borderId="0" xfId="0" applyNumberFormat="1" applyFont="1" applyAlignment="1"/>
    <xf numFmtId="186" fontId="92" fillId="0" borderId="0" xfId="0" applyNumberFormat="1" applyFont="1" applyAlignment="1"/>
    <xf numFmtId="186" fontId="92" fillId="0" borderId="0" xfId="0" applyNumberFormat="1" applyFont="1" applyAlignment="1">
      <alignment horizontal="center"/>
    </xf>
    <xf numFmtId="186" fontId="100" fillId="0" borderId="0" xfId="0" applyNumberFormat="1" applyFont="1"/>
    <xf numFmtId="0" fontId="92" fillId="0" borderId="0" xfId="0" applyFont="1" applyAlignment="1">
      <alignment horizontal="center"/>
    </xf>
    <xf numFmtId="0" fontId="92" fillId="0" borderId="95" xfId="0" applyFont="1" applyBorder="1" applyAlignment="1">
      <alignment horizontal="center" vertical="center"/>
    </xf>
    <xf numFmtId="0" fontId="93" fillId="0" borderId="0" xfId="0" applyFont="1" applyAlignment="1">
      <alignment vertical="center"/>
    </xf>
    <xf numFmtId="0" fontId="93" fillId="0" borderId="95" xfId="0" applyFont="1" applyBorder="1" applyAlignment="1">
      <alignment vertical="center"/>
    </xf>
    <xf numFmtId="0" fontId="92" fillId="0" borderId="0" xfId="0" applyFont="1" applyAlignment="1">
      <alignment vertical="center"/>
    </xf>
    <xf numFmtId="0" fontId="104" fillId="0" borderId="0" xfId="0" applyFont="1"/>
    <xf numFmtId="0" fontId="93" fillId="0" borderId="0" xfId="0" applyFont="1" applyAlignment="1">
      <alignment horizontal="center" vertical="center"/>
    </xf>
    <xf numFmtId="0" fontId="93" fillId="0" borderId="0" xfId="0" applyFont="1" applyAlignment="1">
      <alignment vertical="center" wrapText="1"/>
    </xf>
    <xf numFmtId="0" fontId="32" fillId="96" borderId="57" xfId="0" applyFont="1" applyFill="1" applyBorder="1" applyAlignment="1">
      <alignment horizontal="center" vertical="center" wrapText="1"/>
    </xf>
    <xf numFmtId="0" fontId="32" fillId="96" borderId="70" xfId="0" applyFont="1" applyFill="1" applyBorder="1" applyAlignment="1">
      <alignment horizontal="center" vertical="center" wrapText="1"/>
    </xf>
    <xf numFmtId="0" fontId="32" fillId="96" borderId="57" xfId="0" quotePrefix="1" applyFont="1" applyFill="1" applyBorder="1" applyAlignment="1">
      <alignment horizontal="center" vertical="center" wrapText="1"/>
    </xf>
    <xf numFmtId="0" fontId="32" fillId="96" borderId="70" xfId="0" quotePrefix="1" applyFont="1" applyFill="1" applyBorder="1" applyAlignment="1">
      <alignment horizontal="center" vertical="center" wrapText="1"/>
    </xf>
    <xf numFmtId="0" fontId="32" fillId="96" borderId="15" xfId="0" quotePrefix="1" applyFont="1" applyFill="1" applyBorder="1" applyAlignment="1">
      <alignment horizontal="center" vertical="center" wrapText="1"/>
    </xf>
    <xf numFmtId="17" fontId="32" fillId="96" borderId="57" xfId="0" applyNumberFormat="1" applyFont="1" applyFill="1" applyBorder="1" applyAlignment="1">
      <alignment horizontal="center" vertical="center" wrapText="1"/>
    </xf>
    <xf numFmtId="17" fontId="32" fillId="96" borderId="70" xfId="0" quotePrefix="1" applyNumberFormat="1" applyFont="1" applyFill="1" applyBorder="1" applyAlignment="1">
      <alignment horizontal="center" vertical="center" wrapText="1"/>
    </xf>
    <xf numFmtId="0" fontId="32" fillId="97" borderId="61" xfId="0" applyFont="1" applyFill="1" applyBorder="1" applyAlignment="1">
      <alignment horizontal="center"/>
    </xf>
    <xf numFmtId="0" fontId="32" fillId="97" borderId="62" xfId="0" applyFont="1" applyFill="1" applyBorder="1" applyAlignment="1">
      <alignment horizontal="center"/>
    </xf>
    <xf numFmtId="0" fontId="32" fillId="97" borderId="63" xfId="0" applyFont="1" applyFill="1" applyBorder="1" applyAlignment="1">
      <alignment horizontal="center"/>
    </xf>
    <xf numFmtId="0" fontId="92" fillId="0" borderId="95" xfId="0" applyFont="1" applyBorder="1" applyAlignment="1">
      <alignment horizontal="center"/>
    </xf>
    <xf numFmtId="0" fontId="92" fillId="0" borderId="98" xfId="0" applyFont="1" applyBorder="1" applyAlignment="1">
      <alignment horizontal="center"/>
    </xf>
    <xf numFmtId="0" fontId="92" fillId="0" borderId="96" xfId="0" applyFont="1" applyBorder="1" applyAlignment="1">
      <alignment horizontal="center"/>
    </xf>
    <xf numFmtId="0" fontId="92" fillId="0" borderId="98" xfId="0" applyFont="1" applyBorder="1"/>
    <xf numFmtId="0" fontId="101" fillId="0" borderId="0" xfId="0" applyFont="1"/>
    <xf numFmtId="0" fontId="92" fillId="0" borderId="0" xfId="0" applyFont="1" applyAlignment="1">
      <alignment horizontal="center"/>
    </xf>
    <xf numFmtId="3" fontId="31" fillId="103" borderId="0" xfId="905" applyNumberFormat="1" applyFont="1" applyFill="1" applyBorder="1" applyAlignment="1">
      <alignment horizontal="center" vertical="top"/>
    </xf>
    <xf numFmtId="0" fontId="31" fillId="103" borderId="99" xfId="905" applyFont="1" applyFill="1" applyBorder="1" applyAlignment="1">
      <alignment horizontal="left" vertical="center"/>
    </xf>
    <xf numFmtId="0" fontId="31" fillId="103" borderId="103" xfId="905" applyFont="1" applyFill="1" applyBorder="1" applyAlignment="1">
      <alignment horizontal="left" vertical="center"/>
    </xf>
    <xf numFmtId="0" fontId="31" fillId="103" borderId="100" xfId="905" applyFont="1" applyFill="1" applyBorder="1" applyAlignment="1">
      <alignment horizontal="center" vertical="center"/>
    </xf>
    <xf numFmtId="0" fontId="31" fillId="103" borderId="104" xfId="905" applyFont="1" applyFill="1" applyBorder="1" applyAlignment="1">
      <alignment horizontal="center" vertical="center"/>
    </xf>
    <xf numFmtId="0" fontId="75" fillId="75" borderId="42" xfId="0" applyFont="1" applyFill="1" applyBorder="1" applyAlignment="1">
      <alignment horizontal="left" vertical="top"/>
    </xf>
    <xf numFmtId="0" fontId="75" fillId="75" borderId="43" xfId="0" applyFont="1" applyFill="1" applyBorder="1" applyAlignment="1">
      <alignment horizontal="left" vertical="top"/>
    </xf>
    <xf numFmtId="0" fontId="75" fillId="75" borderId="42" xfId="0" applyFont="1" applyFill="1" applyBorder="1" applyAlignment="1">
      <alignment horizontal="center" vertical="top"/>
    </xf>
    <xf numFmtId="0" fontId="75" fillId="75" borderId="43" xfId="0" applyFont="1" applyFill="1" applyBorder="1" applyAlignment="1">
      <alignment horizontal="center" vertical="top"/>
    </xf>
    <xf numFmtId="0" fontId="75" fillId="0" borderId="81" xfId="0" applyFont="1" applyFill="1" applyBorder="1" applyAlignment="1">
      <alignment horizontal="left" vertical="center"/>
    </xf>
    <xf numFmtId="0" fontId="75" fillId="0" borderId="46" xfId="0" applyFont="1" applyFill="1" applyBorder="1" applyAlignment="1">
      <alignment horizontal="left" vertical="center"/>
    </xf>
    <xf numFmtId="0" fontId="75" fillId="75" borderId="82" xfId="0" applyFont="1" applyFill="1" applyBorder="1" applyAlignment="1">
      <alignment horizontal="left" vertical="center" indent="2"/>
    </xf>
    <xf numFmtId="0" fontId="75" fillId="75" borderId="86" xfId="0" applyFont="1" applyFill="1" applyBorder="1" applyAlignment="1">
      <alignment horizontal="left" vertical="center" indent="2"/>
    </xf>
    <xf numFmtId="0" fontId="75" fillId="75" borderId="83" xfId="0" applyFont="1" applyFill="1" applyBorder="1" applyAlignment="1">
      <alignment horizontal="center" vertical="center"/>
    </xf>
    <xf numFmtId="0" fontId="75" fillId="75" borderId="43" xfId="0" applyFont="1" applyFill="1" applyBorder="1" applyAlignment="1">
      <alignment horizontal="center" vertical="center"/>
    </xf>
    <xf numFmtId="0" fontId="75" fillId="101" borderId="53" xfId="0" applyFont="1" applyFill="1" applyBorder="1" applyAlignment="1">
      <alignment horizontal="left" vertical="center" indent="1"/>
    </xf>
    <xf numFmtId="0" fontId="75" fillId="101" borderId="46" xfId="0" applyFont="1" applyFill="1" applyBorder="1" applyAlignment="1">
      <alignment horizontal="left" vertical="center" indent="1"/>
    </xf>
    <xf numFmtId="0" fontId="75" fillId="101" borderId="88" xfId="0" applyFont="1" applyFill="1" applyBorder="1" applyAlignment="1">
      <alignment horizontal="left" vertical="center" indent="1"/>
    </xf>
    <xf numFmtId="0" fontId="75" fillId="0" borderId="53" xfId="0" applyFont="1" applyFill="1" applyBorder="1" applyAlignment="1">
      <alignment horizontal="left" vertical="center" indent="1"/>
    </xf>
    <xf numFmtId="0" fontId="75" fillId="0" borderId="46" xfId="0" applyFont="1" applyFill="1" applyBorder="1" applyAlignment="1">
      <alignment horizontal="left" vertical="center" indent="1"/>
    </xf>
    <xf numFmtId="0" fontId="75" fillId="0" borderId="88" xfId="0" applyFont="1" applyFill="1" applyBorder="1" applyAlignment="1">
      <alignment horizontal="left" vertical="center" indent="1"/>
    </xf>
    <xf numFmtId="0" fontId="78" fillId="0" borderId="53" xfId="0" applyFont="1" applyFill="1" applyBorder="1" applyAlignment="1">
      <alignment horizontal="center" vertical="center" wrapText="1"/>
    </xf>
    <xf numFmtId="0" fontId="78" fillId="0" borderId="46" xfId="0" applyFont="1" applyFill="1" applyBorder="1" applyAlignment="1">
      <alignment horizontal="center" vertical="center" wrapText="1"/>
    </xf>
    <xf numFmtId="0" fontId="78" fillId="0" borderId="47" xfId="0" applyFont="1" applyFill="1" applyBorder="1" applyAlignment="1">
      <alignment horizontal="center" vertical="center" wrapText="1"/>
    </xf>
    <xf numFmtId="0" fontId="74" fillId="0" borderId="53" xfId="0" applyFont="1" applyFill="1" applyBorder="1" applyAlignment="1">
      <alignment horizontal="center" vertical="center" wrapText="1"/>
    </xf>
    <xf numFmtId="0" fontId="74" fillId="0" borderId="46" xfId="0" applyFont="1" applyFill="1" applyBorder="1" applyAlignment="1">
      <alignment horizontal="center" vertical="center" wrapText="1"/>
    </xf>
    <xf numFmtId="0" fontId="74" fillId="0" borderId="47" xfId="0" applyFont="1" applyFill="1" applyBorder="1" applyAlignment="1">
      <alignment horizontal="center" vertical="center" wrapText="1"/>
    </xf>
    <xf numFmtId="191" fontId="78" fillId="0" borderId="59" xfId="840" applyNumberFormat="1" applyFont="1" applyFill="1" applyBorder="1" applyAlignment="1">
      <alignment horizontal="center" vertical="center" wrapText="1"/>
    </xf>
    <xf numFmtId="191" fontId="78" fillId="0" borderId="55" xfId="840" applyNumberFormat="1" applyFont="1" applyFill="1" applyBorder="1" applyAlignment="1">
      <alignment horizontal="center" vertical="center" wrapText="1"/>
    </xf>
    <xf numFmtId="191" fontId="78" fillId="0" borderId="58" xfId="840" applyNumberFormat="1" applyFont="1" applyFill="1" applyBorder="1" applyAlignment="1">
      <alignment horizontal="center" vertical="center" wrapText="1"/>
    </xf>
    <xf numFmtId="0" fontId="78" fillId="0" borderId="53" xfId="0" applyFont="1" applyFill="1" applyBorder="1" applyAlignment="1" applyProtection="1">
      <alignment horizontal="left" wrapText="1"/>
    </xf>
    <xf numFmtId="0" fontId="78" fillId="0" borderId="46" xfId="0" applyFont="1" applyFill="1" applyBorder="1" applyAlignment="1" applyProtection="1">
      <alignment horizontal="left" wrapText="1"/>
    </xf>
    <xf numFmtId="0" fontId="78" fillId="0" borderId="47" xfId="0" applyFont="1" applyFill="1" applyBorder="1" applyAlignment="1" applyProtection="1">
      <alignment horizontal="left" wrapText="1"/>
    </xf>
    <xf numFmtId="0" fontId="78" fillId="75" borderId="42" xfId="0" applyFont="1" applyFill="1" applyBorder="1" applyAlignment="1">
      <alignment horizontal="left" vertical="center"/>
    </xf>
    <xf numFmtId="0" fontId="78" fillId="75" borderId="43" xfId="0" applyFont="1" applyFill="1" applyBorder="1" applyAlignment="1">
      <alignment horizontal="left" vertical="center"/>
    </xf>
    <xf numFmtId="0" fontId="78" fillId="75" borderId="58" xfId="0" applyFont="1" applyFill="1" applyBorder="1" applyAlignment="1">
      <alignment horizontal="center" vertical="center"/>
    </xf>
    <xf numFmtId="0" fontId="78" fillId="75" borderId="56" xfId="0" applyFont="1" applyFill="1" applyBorder="1" applyAlignment="1">
      <alignment horizontal="center" vertical="center"/>
    </xf>
    <xf numFmtId="0" fontId="78" fillId="0" borderId="53" xfId="0" applyFont="1" applyFill="1" applyBorder="1" applyAlignment="1">
      <alignment horizontal="left" vertical="center" indent="1"/>
    </xf>
    <xf numFmtId="0" fontId="78" fillId="0" borderId="46" xfId="0" applyFont="1" applyFill="1" applyBorder="1" applyAlignment="1">
      <alignment horizontal="left" vertical="center" indent="1"/>
    </xf>
    <xf numFmtId="0" fontId="78" fillId="0" borderId="47" xfId="0" applyFont="1" applyFill="1" applyBorder="1" applyAlignment="1">
      <alignment horizontal="left" vertical="center" indent="1"/>
    </xf>
    <xf numFmtId="0" fontId="78" fillId="0" borderId="53" xfId="0" applyFont="1" applyFill="1" applyBorder="1" applyAlignment="1">
      <alignment horizontal="left" vertical="center" wrapText="1" indent="1"/>
    </xf>
    <xf numFmtId="0" fontId="78" fillId="0" borderId="46" xfId="0" applyFont="1" applyFill="1" applyBorder="1" applyAlignment="1">
      <alignment horizontal="left" vertical="center" wrapText="1" indent="1"/>
    </xf>
    <xf numFmtId="0" fontId="78" fillId="0" borderId="47" xfId="0" applyFont="1" applyFill="1" applyBorder="1" applyAlignment="1">
      <alignment horizontal="left" vertical="center" wrapText="1" indent="1"/>
    </xf>
    <xf numFmtId="9" fontId="98" fillId="0" borderId="0" xfId="0" applyNumberFormat="1" applyFont="1"/>
  </cellXfs>
  <cellStyles count="1698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" xfId="410" builtinId="26" customBuiltin="1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" xfId="828" builtinId="3"/>
    <cellStyle name="Millares [0] 2 2" xfId="829"/>
    <cellStyle name="Millares 2" xfId="830"/>
    <cellStyle name="Millares 3" xfId="831"/>
    <cellStyle name="Millares 3 2" xfId="832"/>
    <cellStyle name="Millares 4" xfId="833"/>
    <cellStyle name="Millares 5" xfId="834"/>
    <cellStyle name="Millares 7" xfId="835"/>
    <cellStyle name="Millares_Analisis Razonado diciemb 08" xfId="836"/>
    <cellStyle name="Moneda [0] 2 2" xfId="837"/>
    <cellStyle name="Moneda 2" xfId="838"/>
    <cellStyle name="Moneda 2 2" xfId="839"/>
    <cellStyle name="Moneda 2 3" xfId="840"/>
    <cellStyle name="Nag?ówek 1" xfId="841"/>
    <cellStyle name="Nag?ówek 2" xfId="842"/>
    <cellStyle name="Nag?ówek 3" xfId="843"/>
    <cellStyle name="Nag?ówek 4" xfId="844"/>
    <cellStyle name="Nagłówek 1" xfId="845"/>
    <cellStyle name="Nagłówek 2" xfId="846"/>
    <cellStyle name="Nagłówek 3" xfId="847"/>
    <cellStyle name="Nagłówek 4" xfId="848"/>
    <cellStyle name="Neutral" xfId="849" builtinId="28" customBuiltin="1"/>
    <cellStyle name="Neutral 2" xfId="850"/>
    <cellStyle name="Neutral 2 2" xfId="851"/>
    <cellStyle name="Neutral 2 3" xfId="852"/>
    <cellStyle name="Neutral 2 4" xfId="853"/>
    <cellStyle name="Neutral 2 5" xfId="854"/>
    <cellStyle name="Neutral 2 6" xfId="855"/>
    <cellStyle name="Neutral 3" xfId="856"/>
    <cellStyle name="Neutral 3 2" xfId="857"/>
    <cellStyle name="Neutral 3 3" xfId="858"/>
    <cellStyle name="Neutral 3 4" xfId="859"/>
    <cellStyle name="Neutral 3 5" xfId="860"/>
    <cellStyle name="Neutral 4" xfId="861"/>
    <cellStyle name="Neutral 4 2" xfId="862"/>
    <cellStyle name="Neutral 4 3" xfId="863"/>
    <cellStyle name="Neutral 4 4" xfId="864"/>
    <cellStyle name="Neutral 4 5" xfId="865"/>
    <cellStyle name="Neutral 5" xfId="866"/>
    <cellStyle name="Neutral 5 2" xfId="867"/>
    <cellStyle name="Neutral 5 3" xfId="868"/>
    <cellStyle name="Neutral 5 4" xfId="869"/>
    <cellStyle name="Neutral 5 5" xfId="870"/>
    <cellStyle name="Neutral 6" xfId="871"/>
    <cellStyle name="Neutral 6 2" xfId="872"/>
    <cellStyle name="Neutral 7" xfId="873"/>
    <cellStyle name="Neutral 8" xfId="874"/>
    <cellStyle name="Neutral 9" xfId="875"/>
    <cellStyle name="Neutralne" xfId="876"/>
    <cellStyle name="Normal" xfId="0" builtinId="0"/>
    <cellStyle name="Normal 10" xfId="877"/>
    <cellStyle name="Normal 10 2" xfId="878"/>
    <cellStyle name="Normal 11" xfId="879"/>
    <cellStyle name="Normal 11 2" xfId="880"/>
    <cellStyle name="Normal 12" xfId="881"/>
    <cellStyle name="Normal 12 2" xfId="882"/>
    <cellStyle name="Normal 13" xfId="883"/>
    <cellStyle name="Normal 13 2" xfId="884"/>
    <cellStyle name="Normal 14" xfId="885"/>
    <cellStyle name="Normal 15" xfId="886"/>
    <cellStyle name="Normal 15 2" xfId="887"/>
    <cellStyle name="Normal 17" xfId="888"/>
    <cellStyle name="Normal 2" xfId="889"/>
    <cellStyle name="Normal 2 10" xfId="890"/>
    <cellStyle name="Normal 2 11" xfId="891"/>
    <cellStyle name="Normal 2 12" xfId="892"/>
    <cellStyle name="Normal 2 2" xfId="893"/>
    <cellStyle name="Normal 2 2 2" xfId="894"/>
    <cellStyle name="Normal 2 3" xfId="895"/>
    <cellStyle name="Normal 2 4" xfId="896"/>
    <cellStyle name="Normal 2 5" xfId="897"/>
    <cellStyle name="Normal 2 6" xfId="898"/>
    <cellStyle name="Normal 2 7" xfId="899"/>
    <cellStyle name="Normal 2 8" xfId="900"/>
    <cellStyle name="Normal 2 9" xfId="901"/>
    <cellStyle name="Normal 2_Combinación de negocios - AA-IAMv3" xfId="902"/>
    <cellStyle name="Normal 2_Estados Financieros-Aguas Cordillera-SVS 03-2009" xfId="903"/>
    <cellStyle name="Normal 3" xfId="904"/>
    <cellStyle name="Normal 3 2" xfId="905"/>
    <cellStyle name="Normal 4" xfId="906"/>
    <cellStyle name="Normal 5" xfId="907"/>
    <cellStyle name="Normal 6" xfId="908"/>
    <cellStyle name="Normal 6 2" xfId="909"/>
    <cellStyle name="Normal 7" xfId="910"/>
    <cellStyle name="Normal 8" xfId="911"/>
    <cellStyle name="Normal 9" xfId="912"/>
    <cellStyle name="Notas" xfId="913" builtinId="10" customBuiltin="1"/>
    <cellStyle name="Notas 10" xfId="914"/>
    <cellStyle name="Notas 2" xfId="915"/>
    <cellStyle name="Notas 2 2" xfId="916"/>
    <cellStyle name="Notas 2 3" xfId="917"/>
    <cellStyle name="Notas 2 4" xfId="918"/>
    <cellStyle name="Notas 2 5" xfId="919"/>
    <cellStyle name="Notas 2 6" xfId="920"/>
    <cellStyle name="Notas 3" xfId="921"/>
    <cellStyle name="Notas 3 2" xfId="922"/>
    <cellStyle name="Notas 3 3" xfId="923"/>
    <cellStyle name="Notas 3 4" xfId="924"/>
    <cellStyle name="Notas 3 5" xfId="925"/>
    <cellStyle name="Notas 4" xfId="926"/>
    <cellStyle name="Notas 4 2" xfId="927"/>
    <cellStyle name="Notas 4 3" xfId="928"/>
    <cellStyle name="Notas 4 4" xfId="929"/>
    <cellStyle name="Notas 4 5" xfId="930"/>
    <cellStyle name="Notas 5" xfId="931"/>
    <cellStyle name="Notas 5 2" xfId="932"/>
    <cellStyle name="Notas 5 3" xfId="933"/>
    <cellStyle name="Notas 5 4" xfId="934"/>
    <cellStyle name="Notas 5 5" xfId="935"/>
    <cellStyle name="Notas 6" xfId="936"/>
    <cellStyle name="Notas 6 2" xfId="937"/>
    <cellStyle name="Notas 7" xfId="938"/>
    <cellStyle name="Notas 8" xfId="939"/>
    <cellStyle name="Notas 9" xfId="940"/>
    <cellStyle name="Note" xfId="941"/>
    <cellStyle name="Note 2" xfId="942"/>
    <cellStyle name="Note 3" xfId="943"/>
    <cellStyle name="Note 4" xfId="944"/>
    <cellStyle name="Note 5" xfId="945"/>
    <cellStyle name="Note 6" xfId="946"/>
    <cellStyle name="Note 7" xfId="947"/>
    <cellStyle name="Note 8" xfId="948"/>
    <cellStyle name="Obliczenia" xfId="949"/>
    <cellStyle name="Output" xfId="950"/>
    <cellStyle name="Porcentaje" xfId="951" builtinId="5"/>
    <cellStyle name="Porcentual 10" xfId="952"/>
    <cellStyle name="Porcentual 10 2" xfId="953"/>
    <cellStyle name="Porcentual 11" xfId="954"/>
    <cellStyle name="Porcentual 11 2" xfId="955"/>
    <cellStyle name="Porcentual 2" xfId="956"/>
    <cellStyle name="Porcentual 2 2" xfId="957"/>
    <cellStyle name="Porcentual 3" xfId="958"/>
    <cellStyle name="Porcentual 4" xfId="959"/>
    <cellStyle name="Porcentual 4 2" xfId="960"/>
    <cellStyle name="Porcentual 5" xfId="961"/>
    <cellStyle name="Porcentual 5 2" xfId="962"/>
    <cellStyle name="Porcentual 6" xfId="963"/>
    <cellStyle name="Porcentual 7" xfId="964"/>
    <cellStyle name="Porcentual 7 2" xfId="965"/>
    <cellStyle name="Porcentual 8" xfId="966"/>
    <cellStyle name="Porcentual 8 2" xfId="967"/>
    <cellStyle name="Porcentual 9" xfId="968"/>
    <cellStyle name="Salida" xfId="969" builtinId="21" customBuiltin="1"/>
    <cellStyle name="Salida 2" xfId="970"/>
    <cellStyle name="Salida 2 2" xfId="971"/>
    <cellStyle name="Salida 2 3" xfId="972"/>
    <cellStyle name="Salida 2 4" xfId="973"/>
    <cellStyle name="Salida 2 5" xfId="974"/>
    <cellStyle name="Salida 2 6" xfId="975"/>
    <cellStyle name="Salida 3" xfId="976"/>
    <cellStyle name="Salida 3 2" xfId="977"/>
    <cellStyle name="Salida 3 3" xfId="978"/>
    <cellStyle name="Salida 3 4" xfId="979"/>
    <cellStyle name="Salida 3 5" xfId="980"/>
    <cellStyle name="Salida 4" xfId="981"/>
    <cellStyle name="Salida 4 2" xfId="982"/>
    <cellStyle name="Salida 4 3" xfId="983"/>
    <cellStyle name="Salida 4 4" xfId="984"/>
    <cellStyle name="Salida 4 5" xfId="985"/>
    <cellStyle name="Salida 5" xfId="986"/>
    <cellStyle name="Salida 5 2" xfId="987"/>
    <cellStyle name="Salida 5 3" xfId="988"/>
    <cellStyle name="Salida 5 4" xfId="989"/>
    <cellStyle name="Salida 5 5" xfId="990"/>
    <cellStyle name="Salida 6" xfId="991"/>
    <cellStyle name="Salida 6 2" xfId="992"/>
    <cellStyle name="Salida 7" xfId="993"/>
    <cellStyle name="Salida 8" xfId="994"/>
    <cellStyle name="Salida 9" xfId="995"/>
    <cellStyle name="SAPBEXaggData" xfId="996"/>
    <cellStyle name="SAPBEXaggData 10" xfId="997"/>
    <cellStyle name="SAPBEXaggData 11" xfId="998"/>
    <cellStyle name="SAPBEXaggData 2" xfId="999"/>
    <cellStyle name="SAPBEXaggData 2 2" xfId="1000"/>
    <cellStyle name="SAPBEXaggData 2 2 2" xfId="1001"/>
    <cellStyle name="SAPBEXaggData 3" xfId="1002"/>
    <cellStyle name="SAPBEXaggData 4" xfId="1003"/>
    <cellStyle name="SAPBEXaggData 5" xfId="1004"/>
    <cellStyle name="SAPBEXaggData 6" xfId="1005"/>
    <cellStyle name="SAPBEXaggData 7" xfId="1006"/>
    <cellStyle name="SAPBEXaggData 8" xfId="1007"/>
    <cellStyle name="SAPBEXaggData 9" xfId="1008"/>
    <cellStyle name="SAPBEXaggData_gxaccion, 68" xfId="1009"/>
    <cellStyle name="SAPBEXaggDataEmph" xfId="1010"/>
    <cellStyle name="SAPBEXaggDataEmph 10" xfId="1011"/>
    <cellStyle name="SAPBEXaggDataEmph 11" xfId="1012"/>
    <cellStyle name="SAPBEXaggDataEmph 2" xfId="1013"/>
    <cellStyle name="SAPBEXaggDataEmph 2 2" xfId="1014"/>
    <cellStyle name="SAPBEXaggDataEmph 2 2 2" xfId="1015"/>
    <cellStyle name="SAPBEXaggDataEmph 3" xfId="1016"/>
    <cellStyle name="SAPBEXaggDataEmph 4" xfId="1017"/>
    <cellStyle name="SAPBEXaggDataEmph 5" xfId="1018"/>
    <cellStyle name="SAPBEXaggDataEmph 6" xfId="1019"/>
    <cellStyle name="SAPBEXaggDataEmph 7" xfId="1020"/>
    <cellStyle name="SAPBEXaggDataEmph 8" xfId="1021"/>
    <cellStyle name="SAPBEXaggDataEmph 9" xfId="1022"/>
    <cellStyle name="SAPBEXaggDataEmph_valor justo.junio2010" xfId="1023"/>
    <cellStyle name="SAPBEXaggItem" xfId="1024"/>
    <cellStyle name="SAPBEXaggItem 10" xfId="1025"/>
    <cellStyle name="SAPBEXaggItem 11" xfId="1026"/>
    <cellStyle name="SAPBEXaggItem 2" xfId="1027"/>
    <cellStyle name="SAPBEXaggItem 2 2" xfId="1028"/>
    <cellStyle name="SAPBEXaggItem 2 2 2" xfId="1029"/>
    <cellStyle name="SAPBEXaggItem 3" xfId="1030"/>
    <cellStyle name="SAPBEXaggItem 4" xfId="1031"/>
    <cellStyle name="SAPBEXaggItem 5" xfId="1032"/>
    <cellStyle name="SAPBEXaggItem 6" xfId="1033"/>
    <cellStyle name="SAPBEXaggItem 7" xfId="1034"/>
    <cellStyle name="SAPBEXaggItem 8" xfId="1035"/>
    <cellStyle name="SAPBEXaggItem 9" xfId="1036"/>
    <cellStyle name="SAPBEXaggItem_gxaccion, 68" xfId="1037"/>
    <cellStyle name="SAPBEXaggItemX" xfId="1038"/>
    <cellStyle name="SAPBEXaggItemX 10" xfId="1039"/>
    <cellStyle name="SAPBEXaggItemX 11" xfId="1040"/>
    <cellStyle name="SAPBEXaggItemX 2" xfId="1041"/>
    <cellStyle name="SAPBEXaggItemX 2 2" xfId="1042"/>
    <cellStyle name="SAPBEXaggItemX 2 2 2" xfId="1043"/>
    <cellStyle name="SAPBEXaggItemX 3" xfId="1044"/>
    <cellStyle name="SAPBEXaggItemX 4" xfId="1045"/>
    <cellStyle name="SAPBEXaggItemX 5" xfId="1046"/>
    <cellStyle name="SAPBEXaggItemX 6" xfId="1047"/>
    <cellStyle name="SAPBEXaggItemX 7" xfId="1048"/>
    <cellStyle name="SAPBEXaggItemX 8" xfId="1049"/>
    <cellStyle name="SAPBEXaggItemX 9" xfId="1050"/>
    <cellStyle name="SAPBEXaggItemX_valor justo.junio2010" xfId="1051"/>
    <cellStyle name="SAPBEXchaText" xfId="1052"/>
    <cellStyle name="SAPBEXchaText 10" xfId="1053"/>
    <cellStyle name="SAPBEXchaText 11" xfId="1054"/>
    <cellStyle name="SAPBEXchaText 2" xfId="1055"/>
    <cellStyle name="SAPBEXchaText 2 2" xfId="1056"/>
    <cellStyle name="SAPBEXchaText 2 2 2" xfId="1057"/>
    <cellStyle name="SAPBEXchaText 3" xfId="1058"/>
    <cellStyle name="SAPBEXchaText 4" xfId="1059"/>
    <cellStyle name="SAPBEXchaText 5" xfId="1060"/>
    <cellStyle name="SAPBEXchaText 6" xfId="1061"/>
    <cellStyle name="SAPBEXchaText 7" xfId="1062"/>
    <cellStyle name="SAPBEXchaText 8" xfId="1063"/>
    <cellStyle name="SAPBEXchaText 9" xfId="1064"/>
    <cellStyle name="SAPBEXchaText_gxaccion, 68" xfId="1065"/>
    <cellStyle name="SAPBEXexcBad7" xfId="1066"/>
    <cellStyle name="SAPBEXexcBad7 10" xfId="1067"/>
    <cellStyle name="SAPBEXexcBad7 11" xfId="1068"/>
    <cellStyle name="SAPBEXexcBad7 2" xfId="1069"/>
    <cellStyle name="SAPBEXexcBad7 2 2" xfId="1070"/>
    <cellStyle name="SAPBEXexcBad7 2 2 2" xfId="1071"/>
    <cellStyle name="SAPBEXexcBad7 3" xfId="1072"/>
    <cellStyle name="SAPBEXexcBad7 4" xfId="1073"/>
    <cellStyle name="SAPBEXexcBad7 5" xfId="1074"/>
    <cellStyle name="SAPBEXexcBad7 6" xfId="1075"/>
    <cellStyle name="SAPBEXexcBad7 7" xfId="1076"/>
    <cellStyle name="SAPBEXexcBad7 8" xfId="1077"/>
    <cellStyle name="SAPBEXexcBad7 9" xfId="1078"/>
    <cellStyle name="SAPBEXexcBad7_gxaccion, 68" xfId="1079"/>
    <cellStyle name="SAPBEXexcBad8" xfId="1080"/>
    <cellStyle name="SAPBEXexcBad8 10" xfId="1081"/>
    <cellStyle name="SAPBEXexcBad8 11" xfId="1082"/>
    <cellStyle name="SAPBEXexcBad8 2" xfId="1083"/>
    <cellStyle name="SAPBEXexcBad8 2 2" xfId="1084"/>
    <cellStyle name="SAPBEXexcBad8 2 2 2" xfId="1085"/>
    <cellStyle name="SAPBEXexcBad8 3" xfId="1086"/>
    <cellStyle name="SAPBEXexcBad8 4" xfId="1087"/>
    <cellStyle name="SAPBEXexcBad8 5" xfId="1088"/>
    <cellStyle name="SAPBEXexcBad8 6" xfId="1089"/>
    <cellStyle name="SAPBEXexcBad8 7" xfId="1090"/>
    <cellStyle name="SAPBEXexcBad8 8" xfId="1091"/>
    <cellStyle name="SAPBEXexcBad8 9" xfId="1092"/>
    <cellStyle name="SAPBEXexcBad8_gxaccion, 68" xfId="1093"/>
    <cellStyle name="SAPBEXexcBad9" xfId="1094"/>
    <cellStyle name="SAPBEXexcBad9 10" xfId="1095"/>
    <cellStyle name="SAPBEXexcBad9 11" xfId="1096"/>
    <cellStyle name="SAPBEXexcBad9 2" xfId="1097"/>
    <cellStyle name="SAPBEXexcBad9 2 2" xfId="1098"/>
    <cellStyle name="SAPBEXexcBad9 2 2 2" xfId="1099"/>
    <cellStyle name="SAPBEXexcBad9 3" xfId="1100"/>
    <cellStyle name="SAPBEXexcBad9 4" xfId="1101"/>
    <cellStyle name="SAPBEXexcBad9 5" xfId="1102"/>
    <cellStyle name="SAPBEXexcBad9 6" xfId="1103"/>
    <cellStyle name="SAPBEXexcBad9 7" xfId="1104"/>
    <cellStyle name="SAPBEXexcBad9 8" xfId="1105"/>
    <cellStyle name="SAPBEXexcBad9 9" xfId="1106"/>
    <cellStyle name="SAPBEXexcBad9_gxaccion, 68" xfId="1107"/>
    <cellStyle name="SAPBEXexcCritical4" xfId="1108"/>
    <cellStyle name="SAPBEXexcCritical4 10" xfId="1109"/>
    <cellStyle name="SAPBEXexcCritical4 11" xfId="1110"/>
    <cellStyle name="SAPBEXexcCritical4 2" xfId="1111"/>
    <cellStyle name="SAPBEXexcCritical4 2 2" xfId="1112"/>
    <cellStyle name="SAPBEXexcCritical4 2 2 2" xfId="1113"/>
    <cellStyle name="SAPBEXexcCritical4 3" xfId="1114"/>
    <cellStyle name="SAPBEXexcCritical4 4" xfId="1115"/>
    <cellStyle name="SAPBEXexcCritical4 5" xfId="1116"/>
    <cellStyle name="SAPBEXexcCritical4 6" xfId="1117"/>
    <cellStyle name="SAPBEXexcCritical4 7" xfId="1118"/>
    <cellStyle name="SAPBEXexcCritical4 8" xfId="1119"/>
    <cellStyle name="SAPBEXexcCritical4 9" xfId="1120"/>
    <cellStyle name="SAPBEXexcCritical4_gxaccion, 68" xfId="1121"/>
    <cellStyle name="SAPBEXexcCritical5" xfId="1122"/>
    <cellStyle name="SAPBEXexcCritical5 10" xfId="1123"/>
    <cellStyle name="SAPBEXexcCritical5 11" xfId="1124"/>
    <cellStyle name="SAPBEXexcCritical5 2" xfId="1125"/>
    <cellStyle name="SAPBEXexcCritical5 2 2" xfId="1126"/>
    <cellStyle name="SAPBEXexcCritical5 2 2 2" xfId="1127"/>
    <cellStyle name="SAPBEXexcCritical5 3" xfId="1128"/>
    <cellStyle name="SAPBEXexcCritical5 4" xfId="1129"/>
    <cellStyle name="SAPBEXexcCritical5 5" xfId="1130"/>
    <cellStyle name="SAPBEXexcCritical5 6" xfId="1131"/>
    <cellStyle name="SAPBEXexcCritical5 7" xfId="1132"/>
    <cellStyle name="SAPBEXexcCritical5 8" xfId="1133"/>
    <cellStyle name="SAPBEXexcCritical5 9" xfId="1134"/>
    <cellStyle name="SAPBEXexcCritical5_gxaccion, 68" xfId="1135"/>
    <cellStyle name="SAPBEXexcCritical6" xfId="1136"/>
    <cellStyle name="SAPBEXexcCritical6 10" xfId="1137"/>
    <cellStyle name="SAPBEXexcCritical6 11" xfId="1138"/>
    <cellStyle name="SAPBEXexcCritical6 2" xfId="1139"/>
    <cellStyle name="SAPBEXexcCritical6 2 2" xfId="1140"/>
    <cellStyle name="SAPBEXexcCritical6 2 2 2" xfId="1141"/>
    <cellStyle name="SAPBEXexcCritical6 3" xfId="1142"/>
    <cellStyle name="SAPBEXexcCritical6 4" xfId="1143"/>
    <cellStyle name="SAPBEXexcCritical6 5" xfId="1144"/>
    <cellStyle name="SAPBEXexcCritical6 6" xfId="1145"/>
    <cellStyle name="SAPBEXexcCritical6 7" xfId="1146"/>
    <cellStyle name="SAPBEXexcCritical6 8" xfId="1147"/>
    <cellStyle name="SAPBEXexcCritical6 9" xfId="1148"/>
    <cellStyle name="SAPBEXexcCritical6_gxaccion, 68" xfId="1149"/>
    <cellStyle name="SAPBEXexcGood1" xfId="1150"/>
    <cellStyle name="SAPBEXexcGood1 10" xfId="1151"/>
    <cellStyle name="SAPBEXexcGood1 11" xfId="1152"/>
    <cellStyle name="SAPBEXexcGood1 2" xfId="1153"/>
    <cellStyle name="SAPBEXexcGood1 2 2" xfId="1154"/>
    <cellStyle name="SAPBEXexcGood1 2 2 2" xfId="1155"/>
    <cellStyle name="SAPBEXexcGood1 3" xfId="1156"/>
    <cellStyle name="SAPBEXexcGood1 4" xfId="1157"/>
    <cellStyle name="SAPBEXexcGood1 5" xfId="1158"/>
    <cellStyle name="SAPBEXexcGood1 6" xfId="1159"/>
    <cellStyle name="SAPBEXexcGood1 7" xfId="1160"/>
    <cellStyle name="SAPBEXexcGood1 8" xfId="1161"/>
    <cellStyle name="SAPBEXexcGood1 9" xfId="1162"/>
    <cellStyle name="SAPBEXexcGood1_gxaccion, 68" xfId="1163"/>
    <cellStyle name="SAPBEXexcGood2" xfId="1164"/>
    <cellStyle name="SAPBEXexcGood2 10" xfId="1165"/>
    <cellStyle name="SAPBEXexcGood2 11" xfId="1166"/>
    <cellStyle name="SAPBEXexcGood2 2" xfId="1167"/>
    <cellStyle name="SAPBEXexcGood2 2 2" xfId="1168"/>
    <cellStyle name="SAPBEXexcGood2 2 2 2" xfId="1169"/>
    <cellStyle name="SAPBEXexcGood2 3" xfId="1170"/>
    <cellStyle name="SAPBEXexcGood2 4" xfId="1171"/>
    <cellStyle name="SAPBEXexcGood2 5" xfId="1172"/>
    <cellStyle name="SAPBEXexcGood2 6" xfId="1173"/>
    <cellStyle name="SAPBEXexcGood2 7" xfId="1174"/>
    <cellStyle name="SAPBEXexcGood2 8" xfId="1175"/>
    <cellStyle name="SAPBEXexcGood2 9" xfId="1176"/>
    <cellStyle name="SAPBEXexcGood2_gxaccion, 68" xfId="1177"/>
    <cellStyle name="SAPBEXexcGood3" xfId="1178"/>
    <cellStyle name="SAPBEXexcGood3 10" xfId="1179"/>
    <cellStyle name="SAPBEXexcGood3 11" xfId="1180"/>
    <cellStyle name="SAPBEXexcGood3 2" xfId="1181"/>
    <cellStyle name="SAPBEXexcGood3 2 2" xfId="1182"/>
    <cellStyle name="SAPBEXexcGood3 2 2 2" xfId="1183"/>
    <cellStyle name="SAPBEXexcGood3 3" xfId="1184"/>
    <cellStyle name="SAPBEXexcGood3 4" xfId="1185"/>
    <cellStyle name="SAPBEXexcGood3 5" xfId="1186"/>
    <cellStyle name="SAPBEXexcGood3 6" xfId="1187"/>
    <cellStyle name="SAPBEXexcGood3 7" xfId="1188"/>
    <cellStyle name="SAPBEXexcGood3 8" xfId="1189"/>
    <cellStyle name="SAPBEXexcGood3 9" xfId="1190"/>
    <cellStyle name="SAPBEXexcGood3_gxaccion, 68" xfId="1191"/>
    <cellStyle name="SAPBEXfilterDrill" xfId="1192"/>
    <cellStyle name="SAPBEXfilterDrill 10" xfId="1193"/>
    <cellStyle name="SAPBEXfilterDrill 11" xfId="1194"/>
    <cellStyle name="SAPBEXfilterDrill 2" xfId="1195"/>
    <cellStyle name="SAPBEXfilterDrill 2 2" xfId="1196"/>
    <cellStyle name="SAPBEXfilterDrill 2 2 2" xfId="1197"/>
    <cellStyle name="SAPBEXfilterDrill 3" xfId="1198"/>
    <cellStyle name="SAPBEXfilterDrill 4" xfId="1199"/>
    <cellStyle name="SAPBEXfilterDrill 5" xfId="1200"/>
    <cellStyle name="SAPBEXfilterDrill 6" xfId="1201"/>
    <cellStyle name="SAPBEXfilterDrill 7" xfId="1202"/>
    <cellStyle name="SAPBEXfilterDrill 8" xfId="1203"/>
    <cellStyle name="SAPBEXfilterDrill 9" xfId="1204"/>
    <cellStyle name="SAPBEXfilterDrill_gxaccion, 68" xfId="1205"/>
    <cellStyle name="SAPBEXfilterItem" xfId="1206"/>
    <cellStyle name="SAPBEXfilterItem 10" xfId="1207"/>
    <cellStyle name="SAPBEXfilterItem 11" xfId="1208"/>
    <cellStyle name="SAPBEXfilterItem 2" xfId="1209"/>
    <cellStyle name="SAPBEXfilterItem 2 2" xfId="1210"/>
    <cellStyle name="SAPBEXfilterItem 2 2 2" xfId="1211"/>
    <cellStyle name="SAPBEXfilterItem 3" xfId="1212"/>
    <cellStyle name="SAPBEXfilterItem 4" xfId="1213"/>
    <cellStyle name="SAPBEXfilterItem 5" xfId="1214"/>
    <cellStyle name="SAPBEXfilterItem 6" xfId="1215"/>
    <cellStyle name="SAPBEXfilterItem 7" xfId="1216"/>
    <cellStyle name="SAPBEXfilterItem 8" xfId="1217"/>
    <cellStyle name="SAPBEXfilterItem 9" xfId="1218"/>
    <cellStyle name="SAPBEXfilterText" xfId="1219"/>
    <cellStyle name="SAPBEXfilterText 10" xfId="1220"/>
    <cellStyle name="SAPBEXfilterText 11" xfId="1221"/>
    <cellStyle name="SAPBEXfilterText 2" xfId="1222"/>
    <cellStyle name="SAPBEXfilterText 2 2" xfId="1223"/>
    <cellStyle name="SAPBEXfilterText 2 2 2" xfId="1224"/>
    <cellStyle name="SAPBEXfilterText 3" xfId="1225"/>
    <cellStyle name="SAPBEXfilterText 4" xfId="1226"/>
    <cellStyle name="SAPBEXfilterText 5" xfId="1227"/>
    <cellStyle name="SAPBEXfilterText 6" xfId="1228"/>
    <cellStyle name="SAPBEXfilterText 7" xfId="1229"/>
    <cellStyle name="SAPBEXfilterText 8" xfId="1230"/>
    <cellStyle name="SAPBEXfilterText 9" xfId="1231"/>
    <cellStyle name="SAPBEXformats" xfId="1232"/>
    <cellStyle name="SAPBEXformats 10" xfId="1233"/>
    <cellStyle name="SAPBEXformats 11" xfId="1234"/>
    <cellStyle name="SAPBEXformats 2" xfId="1235"/>
    <cellStyle name="SAPBEXformats 2 2" xfId="1236"/>
    <cellStyle name="SAPBEXformats 2 2 2" xfId="1237"/>
    <cellStyle name="SAPBEXformats 3" xfId="1238"/>
    <cellStyle name="SAPBEXformats 4" xfId="1239"/>
    <cellStyle name="SAPBEXformats 5" xfId="1240"/>
    <cellStyle name="SAPBEXformats 6" xfId="1241"/>
    <cellStyle name="SAPBEXformats 7" xfId="1242"/>
    <cellStyle name="SAPBEXformats 8" xfId="1243"/>
    <cellStyle name="SAPBEXformats 9" xfId="1244"/>
    <cellStyle name="SAPBEXformats_gxaccion, 68" xfId="1245"/>
    <cellStyle name="SAPBEXheaderItem" xfId="1246"/>
    <cellStyle name="SAPBEXheaderItem 10" xfId="1247"/>
    <cellStyle name="SAPBEXheaderItem 11" xfId="1248"/>
    <cellStyle name="SAPBEXheaderItem 2" xfId="1249"/>
    <cellStyle name="SAPBEXheaderItem 2 2" xfId="1250"/>
    <cellStyle name="SAPBEXheaderItem 2 2 2" xfId="1251"/>
    <cellStyle name="SAPBEXheaderItem 3" xfId="1252"/>
    <cellStyle name="SAPBEXheaderItem 4" xfId="1253"/>
    <cellStyle name="SAPBEXheaderItem 5" xfId="1254"/>
    <cellStyle name="SAPBEXheaderItem 6" xfId="1255"/>
    <cellStyle name="SAPBEXheaderItem 7" xfId="1256"/>
    <cellStyle name="SAPBEXheaderItem 8" xfId="1257"/>
    <cellStyle name="SAPBEXheaderItem 9" xfId="1258"/>
    <cellStyle name="SAPBEXheaderItem_gxaccion, 68" xfId="1259"/>
    <cellStyle name="SAPBEXheaderText" xfId="1260"/>
    <cellStyle name="SAPBEXheaderText 10" xfId="1261"/>
    <cellStyle name="SAPBEXheaderText 11" xfId="1262"/>
    <cellStyle name="SAPBEXheaderText 2" xfId="1263"/>
    <cellStyle name="SAPBEXheaderText 2 2" xfId="1264"/>
    <cellStyle name="SAPBEXheaderText 2 2 2" xfId="1265"/>
    <cellStyle name="SAPBEXheaderText 3" xfId="1266"/>
    <cellStyle name="SAPBEXheaderText 4" xfId="1267"/>
    <cellStyle name="SAPBEXheaderText 5" xfId="1268"/>
    <cellStyle name="SAPBEXheaderText 6" xfId="1269"/>
    <cellStyle name="SAPBEXheaderText 7" xfId="1270"/>
    <cellStyle name="SAPBEXheaderText 8" xfId="1271"/>
    <cellStyle name="SAPBEXheaderText 9" xfId="1272"/>
    <cellStyle name="SAPBEXheaderText_gxaccion, 68" xfId="1273"/>
    <cellStyle name="SAPBEXHLevel0" xfId="1274"/>
    <cellStyle name="SAPBEXHLevel0 10" xfId="1275"/>
    <cellStyle name="SAPBEXHLevel0 11" xfId="1276"/>
    <cellStyle name="SAPBEXHLevel0 2" xfId="1277"/>
    <cellStyle name="SAPBEXHLevel0 2 2" xfId="1278"/>
    <cellStyle name="SAPBEXHLevel0 2 2 2" xfId="1279"/>
    <cellStyle name="SAPBEXHLevel0 3" xfId="1280"/>
    <cellStyle name="SAPBEXHLevel0 4" xfId="1281"/>
    <cellStyle name="SAPBEXHLevel0 5" xfId="1282"/>
    <cellStyle name="SAPBEXHLevel0 6" xfId="1283"/>
    <cellStyle name="SAPBEXHLevel0 7" xfId="1284"/>
    <cellStyle name="SAPBEXHLevel0 8" xfId="1285"/>
    <cellStyle name="SAPBEXHLevel0 9" xfId="1286"/>
    <cellStyle name="SAPBEXHLevel0_gxaccion, 68" xfId="1287"/>
    <cellStyle name="SAPBEXHLevel0X" xfId="1288"/>
    <cellStyle name="SAPBEXHLevel0X 10" xfId="1289"/>
    <cellStyle name="SAPBEXHLevel0X 11" xfId="1290"/>
    <cellStyle name="SAPBEXHLevel0X 2" xfId="1291"/>
    <cellStyle name="SAPBEXHLevel0X 2 2" xfId="1292"/>
    <cellStyle name="SAPBEXHLevel0X 2 2 2" xfId="1293"/>
    <cellStyle name="SAPBEXHLevel0X 3" xfId="1294"/>
    <cellStyle name="SAPBEXHLevel0X 4" xfId="1295"/>
    <cellStyle name="SAPBEXHLevel0X 5" xfId="1296"/>
    <cellStyle name="SAPBEXHLevel0X 6" xfId="1297"/>
    <cellStyle name="SAPBEXHLevel0X 7" xfId="1298"/>
    <cellStyle name="SAPBEXHLevel0X 8" xfId="1299"/>
    <cellStyle name="SAPBEXHLevel0X 9" xfId="1300"/>
    <cellStyle name="SAPBEXHLevel0X_gxaccion, 68" xfId="1301"/>
    <cellStyle name="SAPBEXHLevel1" xfId="1302"/>
    <cellStyle name="SAPBEXHLevel1 10" xfId="1303"/>
    <cellStyle name="SAPBEXHLevel1 11" xfId="1304"/>
    <cellStyle name="SAPBEXHLevel1 2" xfId="1305"/>
    <cellStyle name="SAPBEXHLevel1 2 2" xfId="1306"/>
    <cellStyle name="SAPBEXHLevel1 2 2 2" xfId="1307"/>
    <cellStyle name="SAPBEXHLevel1 3" xfId="1308"/>
    <cellStyle name="SAPBEXHLevel1 4" xfId="1309"/>
    <cellStyle name="SAPBEXHLevel1 5" xfId="1310"/>
    <cellStyle name="SAPBEXHLevel1 6" xfId="1311"/>
    <cellStyle name="SAPBEXHLevel1 7" xfId="1312"/>
    <cellStyle name="SAPBEXHLevel1 8" xfId="1313"/>
    <cellStyle name="SAPBEXHLevel1 9" xfId="1314"/>
    <cellStyle name="SAPBEXHLevel1_gxaccion, 68" xfId="1315"/>
    <cellStyle name="SAPBEXHLevel1X" xfId="1316"/>
    <cellStyle name="SAPBEXHLevel1X 10" xfId="1317"/>
    <cellStyle name="SAPBEXHLevel1X 11" xfId="1318"/>
    <cellStyle name="SAPBEXHLevel1X 2" xfId="1319"/>
    <cellStyle name="SAPBEXHLevel1X 2 2" xfId="1320"/>
    <cellStyle name="SAPBEXHLevel1X 2 2 2" xfId="1321"/>
    <cellStyle name="SAPBEXHLevel1X 3" xfId="1322"/>
    <cellStyle name="SAPBEXHLevel1X 4" xfId="1323"/>
    <cellStyle name="SAPBEXHLevel1X 5" xfId="1324"/>
    <cellStyle name="SAPBEXHLevel1X 6" xfId="1325"/>
    <cellStyle name="SAPBEXHLevel1X 7" xfId="1326"/>
    <cellStyle name="SAPBEXHLevel1X 8" xfId="1327"/>
    <cellStyle name="SAPBEXHLevel1X 9" xfId="1328"/>
    <cellStyle name="SAPBEXHLevel1X_gxaccion, 68" xfId="1329"/>
    <cellStyle name="SAPBEXHLevel2" xfId="1330"/>
    <cellStyle name="SAPBEXHLevel2 10" xfId="1331"/>
    <cellStyle name="SAPBEXHLevel2 11" xfId="1332"/>
    <cellStyle name="SAPBEXHLevel2 2" xfId="1333"/>
    <cellStyle name="SAPBEXHLevel2 2 2" xfId="1334"/>
    <cellStyle name="SAPBEXHLevel2 2 2 2" xfId="1335"/>
    <cellStyle name="SAPBEXHLevel2 3" xfId="1336"/>
    <cellStyle name="SAPBEXHLevel2 4" xfId="1337"/>
    <cellStyle name="SAPBEXHLevel2 5" xfId="1338"/>
    <cellStyle name="SAPBEXHLevel2 6" xfId="1339"/>
    <cellStyle name="SAPBEXHLevel2 7" xfId="1340"/>
    <cellStyle name="SAPBEXHLevel2 8" xfId="1341"/>
    <cellStyle name="SAPBEXHLevel2 9" xfId="1342"/>
    <cellStyle name="SAPBEXHLevel2_gxaccion, 68" xfId="1343"/>
    <cellStyle name="SAPBEXHLevel2X" xfId="1344"/>
    <cellStyle name="SAPBEXHLevel2X 10" xfId="1345"/>
    <cellStyle name="SAPBEXHLevel2X 11" xfId="1346"/>
    <cellStyle name="SAPBEXHLevel2X 2" xfId="1347"/>
    <cellStyle name="SAPBEXHLevel2X 2 2" xfId="1348"/>
    <cellStyle name="SAPBEXHLevel2X 2 2 2" xfId="1349"/>
    <cellStyle name="SAPBEXHLevel2X 3" xfId="1350"/>
    <cellStyle name="SAPBEXHLevel2X 4" xfId="1351"/>
    <cellStyle name="SAPBEXHLevel2X 5" xfId="1352"/>
    <cellStyle name="SAPBEXHLevel2X 6" xfId="1353"/>
    <cellStyle name="SAPBEXHLevel2X 7" xfId="1354"/>
    <cellStyle name="SAPBEXHLevel2X 8" xfId="1355"/>
    <cellStyle name="SAPBEXHLevel2X 9" xfId="1356"/>
    <cellStyle name="SAPBEXHLevel2X_gxaccion, 68" xfId="1357"/>
    <cellStyle name="SAPBEXHLevel3" xfId="1358"/>
    <cellStyle name="SAPBEXHLevel3 10" xfId="1359"/>
    <cellStyle name="SAPBEXHLevel3 11" xfId="1360"/>
    <cellStyle name="SAPBEXHLevel3 2" xfId="1361"/>
    <cellStyle name="SAPBEXHLevel3 2 2" xfId="1362"/>
    <cellStyle name="SAPBEXHLevel3 2 2 2" xfId="1363"/>
    <cellStyle name="SAPBEXHLevel3 3" xfId="1364"/>
    <cellStyle name="SAPBEXHLevel3 4" xfId="1365"/>
    <cellStyle name="SAPBEXHLevel3 5" xfId="1366"/>
    <cellStyle name="SAPBEXHLevel3 6" xfId="1367"/>
    <cellStyle name="SAPBEXHLevel3 7" xfId="1368"/>
    <cellStyle name="SAPBEXHLevel3 8" xfId="1369"/>
    <cellStyle name="SAPBEXHLevel3 9" xfId="1370"/>
    <cellStyle name="SAPBEXHLevel3_gxaccion, 68" xfId="1371"/>
    <cellStyle name="SAPBEXHLevel3X" xfId="1372"/>
    <cellStyle name="SAPBEXHLevel3X 10" xfId="1373"/>
    <cellStyle name="SAPBEXHLevel3X 11" xfId="1374"/>
    <cellStyle name="SAPBEXHLevel3X 2" xfId="1375"/>
    <cellStyle name="SAPBEXHLevel3X 2 2" xfId="1376"/>
    <cellStyle name="SAPBEXHLevel3X 2 2 2" xfId="1377"/>
    <cellStyle name="SAPBEXHLevel3X 3" xfId="1378"/>
    <cellStyle name="SAPBEXHLevel3X 4" xfId="1379"/>
    <cellStyle name="SAPBEXHLevel3X 5" xfId="1380"/>
    <cellStyle name="SAPBEXHLevel3X 6" xfId="1381"/>
    <cellStyle name="SAPBEXHLevel3X 7" xfId="1382"/>
    <cellStyle name="SAPBEXHLevel3X 8" xfId="1383"/>
    <cellStyle name="SAPBEXHLevel3X 9" xfId="1384"/>
    <cellStyle name="SAPBEXHLevel3X_gxaccion, 68" xfId="1385"/>
    <cellStyle name="SAPBEXinputData" xfId="1386"/>
    <cellStyle name="SAPBEXinputData 10" xfId="1387"/>
    <cellStyle name="SAPBEXinputData 11" xfId="1388"/>
    <cellStyle name="SAPBEXinputData 2" xfId="1389"/>
    <cellStyle name="SAPBEXinputData 2 2" xfId="1390"/>
    <cellStyle name="SAPBEXinputData 2 2 2" xfId="1391"/>
    <cellStyle name="SAPBEXinputData 3" xfId="1392"/>
    <cellStyle name="SAPBEXinputData 4" xfId="1393"/>
    <cellStyle name="SAPBEXinputData 5" xfId="1394"/>
    <cellStyle name="SAPBEXinputData 6" xfId="1395"/>
    <cellStyle name="SAPBEXinputData 7" xfId="1396"/>
    <cellStyle name="SAPBEXinputData 8" xfId="1397"/>
    <cellStyle name="SAPBEXinputData 9" xfId="1398"/>
    <cellStyle name="SAPBEXinputData_gxaccion, 68" xfId="1399"/>
    <cellStyle name="SAPBEXItemHeader" xfId="1400"/>
    <cellStyle name="SAPBEXresData" xfId="1401"/>
    <cellStyle name="SAPBEXresData 10" xfId="1402"/>
    <cellStyle name="SAPBEXresData 11" xfId="1403"/>
    <cellStyle name="SAPBEXresData 2" xfId="1404"/>
    <cellStyle name="SAPBEXresData 2 2" xfId="1405"/>
    <cellStyle name="SAPBEXresData 2 2 2" xfId="1406"/>
    <cellStyle name="SAPBEXresData 3" xfId="1407"/>
    <cellStyle name="SAPBEXresData 4" xfId="1408"/>
    <cellStyle name="SAPBEXresData 5" xfId="1409"/>
    <cellStyle name="SAPBEXresData 6" xfId="1410"/>
    <cellStyle name="SAPBEXresData 7" xfId="1411"/>
    <cellStyle name="SAPBEXresData 8" xfId="1412"/>
    <cellStyle name="SAPBEXresData 9" xfId="1413"/>
    <cellStyle name="SAPBEXresData_valor justo.junio2010" xfId="1414"/>
    <cellStyle name="SAPBEXresDataEmph" xfId="1415"/>
    <cellStyle name="SAPBEXresDataEmph 10" xfId="1416"/>
    <cellStyle name="SAPBEXresDataEmph 11" xfId="1417"/>
    <cellStyle name="SAPBEXresDataEmph 2" xfId="1418"/>
    <cellStyle name="SAPBEXresDataEmph 2 2" xfId="1419"/>
    <cellStyle name="SAPBEXresDataEmph 2 2 2" xfId="1420"/>
    <cellStyle name="SAPBEXresDataEmph 3" xfId="1421"/>
    <cellStyle name="SAPBEXresDataEmph 4" xfId="1422"/>
    <cellStyle name="SAPBEXresDataEmph 5" xfId="1423"/>
    <cellStyle name="SAPBEXresDataEmph 6" xfId="1424"/>
    <cellStyle name="SAPBEXresDataEmph 7" xfId="1425"/>
    <cellStyle name="SAPBEXresDataEmph 8" xfId="1426"/>
    <cellStyle name="SAPBEXresDataEmph 9" xfId="1427"/>
    <cellStyle name="SAPBEXresDataEmph_valor justo.junio2010" xfId="1428"/>
    <cellStyle name="SAPBEXresItem" xfId="1429"/>
    <cellStyle name="SAPBEXresItem 10" xfId="1430"/>
    <cellStyle name="SAPBEXresItem 11" xfId="1431"/>
    <cellStyle name="SAPBEXresItem 2" xfId="1432"/>
    <cellStyle name="SAPBEXresItem 2 2" xfId="1433"/>
    <cellStyle name="SAPBEXresItem 2 2 2" xfId="1434"/>
    <cellStyle name="SAPBEXresItem 3" xfId="1435"/>
    <cellStyle name="SAPBEXresItem 4" xfId="1436"/>
    <cellStyle name="SAPBEXresItem 5" xfId="1437"/>
    <cellStyle name="SAPBEXresItem 6" xfId="1438"/>
    <cellStyle name="SAPBEXresItem 7" xfId="1439"/>
    <cellStyle name="SAPBEXresItem 8" xfId="1440"/>
    <cellStyle name="SAPBEXresItem 9" xfId="1441"/>
    <cellStyle name="SAPBEXresItem_valor justo.junio2010" xfId="1442"/>
    <cellStyle name="SAPBEXresItemX" xfId="1443"/>
    <cellStyle name="SAPBEXresItemX 10" xfId="1444"/>
    <cellStyle name="SAPBEXresItemX 11" xfId="1445"/>
    <cellStyle name="SAPBEXresItemX 2" xfId="1446"/>
    <cellStyle name="SAPBEXresItemX 2 2" xfId="1447"/>
    <cellStyle name="SAPBEXresItemX 2 2 2" xfId="1448"/>
    <cellStyle name="SAPBEXresItemX 3" xfId="1449"/>
    <cellStyle name="SAPBEXresItemX 4" xfId="1450"/>
    <cellStyle name="SAPBEXresItemX 5" xfId="1451"/>
    <cellStyle name="SAPBEXresItemX 6" xfId="1452"/>
    <cellStyle name="SAPBEXresItemX 7" xfId="1453"/>
    <cellStyle name="SAPBEXresItemX 8" xfId="1454"/>
    <cellStyle name="SAPBEXresItemX 9" xfId="1455"/>
    <cellStyle name="SAPBEXresItemX_valor justo.junio2010" xfId="1456"/>
    <cellStyle name="SAPBEXstdData" xfId="1457"/>
    <cellStyle name="SAPBEXstdData 10" xfId="1458"/>
    <cellStyle name="SAPBEXstdData 11" xfId="1459"/>
    <cellStyle name="SAPBEXstdData 2" xfId="1460"/>
    <cellStyle name="SAPBEXstdData 2 2" xfId="1461"/>
    <cellStyle name="SAPBEXstdData 2 2 2" xfId="1462"/>
    <cellStyle name="SAPBEXstdData 3" xfId="1463"/>
    <cellStyle name="SAPBEXstdData 4" xfId="1464"/>
    <cellStyle name="SAPBEXstdData 5" xfId="1465"/>
    <cellStyle name="SAPBEXstdData 6" xfId="1466"/>
    <cellStyle name="SAPBEXstdData 7" xfId="1467"/>
    <cellStyle name="SAPBEXstdData 8" xfId="1468"/>
    <cellStyle name="SAPBEXstdData 9" xfId="1469"/>
    <cellStyle name="SAPBEXstdData_gxaccion, 68" xfId="1470"/>
    <cellStyle name="SAPBEXstdDataEmph" xfId="1471"/>
    <cellStyle name="SAPBEXstdDataEmph 10" xfId="1472"/>
    <cellStyle name="SAPBEXstdDataEmph 11" xfId="1473"/>
    <cellStyle name="SAPBEXstdDataEmph 2" xfId="1474"/>
    <cellStyle name="SAPBEXstdDataEmph 2 2" xfId="1475"/>
    <cellStyle name="SAPBEXstdDataEmph 2 2 2" xfId="1476"/>
    <cellStyle name="SAPBEXstdDataEmph 3" xfId="1477"/>
    <cellStyle name="SAPBEXstdDataEmph 4" xfId="1478"/>
    <cellStyle name="SAPBEXstdDataEmph 5" xfId="1479"/>
    <cellStyle name="SAPBEXstdDataEmph 6" xfId="1480"/>
    <cellStyle name="SAPBEXstdDataEmph 7" xfId="1481"/>
    <cellStyle name="SAPBEXstdDataEmph 8" xfId="1482"/>
    <cellStyle name="SAPBEXstdDataEmph 9" xfId="1483"/>
    <cellStyle name="SAPBEXstdDataEmph_valor justo.junio2010" xfId="1484"/>
    <cellStyle name="SAPBEXstdItem" xfId="1485"/>
    <cellStyle name="SAPBEXstdItem 10" xfId="1486"/>
    <cellStyle name="SAPBEXstdItem 11" xfId="1487"/>
    <cellStyle name="SAPBEXstdItem 2" xfId="1488"/>
    <cellStyle name="SAPBEXstdItem 2 2" xfId="1489"/>
    <cellStyle name="SAPBEXstdItem 2 2 2" xfId="1490"/>
    <cellStyle name="SAPBEXstdItem 3" xfId="1491"/>
    <cellStyle name="SAPBEXstdItem 4" xfId="1492"/>
    <cellStyle name="SAPBEXstdItem 5" xfId="1493"/>
    <cellStyle name="SAPBEXstdItem 6" xfId="1494"/>
    <cellStyle name="SAPBEXstdItem 7" xfId="1495"/>
    <cellStyle name="SAPBEXstdItem 8" xfId="1496"/>
    <cellStyle name="SAPBEXstdItem 9" xfId="1497"/>
    <cellStyle name="SAPBEXstdItem_gxaccion, 68" xfId="1498"/>
    <cellStyle name="SAPBEXstdItemX" xfId="1499"/>
    <cellStyle name="SAPBEXstdItemX 10" xfId="1500"/>
    <cellStyle name="SAPBEXstdItemX 11" xfId="1501"/>
    <cellStyle name="SAPBEXstdItemX 2" xfId="1502"/>
    <cellStyle name="SAPBEXstdItemX 2 2" xfId="1503"/>
    <cellStyle name="SAPBEXstdItemX 2 2 2" xfId="1504"/>
    <cellStyle name="SAPBEXstdItemX 3" xfId="1505"/>
    <cellStyle name="SAPBEXstdItemX 4" xfId="1506"/>
    <cellStyle name="SAPBEXstdItemX 5" xfId="1507"/>
    <cellStyle name="SAPBEXstdItemX 6" xfId="1508"/>
    <cellStyle name="SAPBEXstdItemX 7" xfId="1509"/>
    <cellStyle name="SAPBEXstdItemX 8" xfId="1510"/>
    <cellStyle name="SAPBEXstdItemX 9" xfId="1511"/>
    <cellStyle name="SAPBEXstdItemX_valor justo.junio2010" xfId="1512"/>
    <cellStyle name="SAPBEXtitle" xfId="1513"/>
    <cellStyle name="SAPBEXtitle 10" xfId="1514"/>
    <cellStyle name="SAPBEXtitle 11" xfId="1515"/>
    <cellStyle name="SAPBEXtitle 2" xfId="1516"/>
    <cellStyle name="SAPBEXtitle 2 2" xfId="1517"/>
    <cellStyle name="SAPBEXtitle 2 2 2" xfId="1518"/>
    <cellStyle name="SAPBEXtitle 3" xfId="1519"/>
    <cellStyle name="SAPBEXtitle 4" xfId="1520"/>
    <cellStyle name="SAPBEXtitle 5" xfId="1521"/>
    <cellStyle name="SAPBEXtitle 6" xfId="1522"/>
    <cellStyle name="SAPBEXtitle 7" xfId="1523"/>
    <cellStyle name="SAPBEXtitle 8" xfId="1524"/>
    <cellStyle name="SAPBEXtitle 9" xfId="1525"/>
    <cellStyle name="SAPBEXunassignedItem" xfId="1526"/>
    <cellStyle name="SAPBEXunassignedItem 2" xfId="1527"/>
    <cellStyle name="SAPBEXunassignedItem 3" xfId="1528"/>
    <cellStyle name="SAPBEXunassignedItem 4" xfId="1529"/>
    <cellStyle name="SAPBEXunassignedItem 5" xfId="1530"/>
    <cellStyle name="SAPBEXundefined" xfId="1531"/>
    <cellStyle name="SAPBEXundefined 10" xfId="1532"/>
    <cellStyle name="SAPBEXundefined 11" xfId="1533"/>
    <cellStyle name="SAPBEXundefined 2" xfId="1534"/>
    <cellStyle name="SAPBEXundefined 2 2" xfId="1535"/>
    <cellStyle name="SAPBEXundefined 2 2 2" xfId="1536"/>
    <cellStyle name="SAPBEXundefined 3" xfId="1537"/>
    <cellStyle name="SAPBEXundefined 4" xfId="1538"/>
    <cellStyle name="SAPBEXundefined 5" xfId="1539"/>
    <cellStyle name="SAPBEXundefined 6" xfId="1540"/>
    <cellStyle name="SAPBEXundefined 7" xfId="1541"/>
    <cellStyle name="SAPBEXundefined 8" xfId="1542"/>
    <cellStyle name="SAPBEXundefined 9" xfId="1543"/>
    <cellStyle name="SAPBEXundefined_valor justo.junio2010" xfId="1544"/>
    <cellStyle name="Sheet Title" xfId="1545"/>
    <cellStyle name="Suma" xfId="1546"/>
    <cellStyle name="Tekst obja?nienia" xfId="1547"/>
    <cellStyle name="Tekst objaśnienia" xfId="1548"/>
    <cellStyle name="Tekst ostrze?enia" xfId="1549"/>
    <cellStyle name="Tekst ostrzeżenia" xfId="1550"/>
    <cellStyle name="Texto de advertencia" xfId="1551" builtinId="11" customBuiltin="1"/>
    <cellStyle name="Texto de advertencia 2" xfId="1552"/>
    <cellStyle name="Texto de advertencia 2 2" xfId="1553"/>
    <cellStyle name="Texto de advertencia 2 3" xfId="1554"/>
    <cellStyle name="Texto de advertencia 2 4" xfId="1555"/>
    <cellStyle name="Texto de advertencia 2 5" xfId="1556"/>
    <cellStyle name="Texto de advertencia 2 6" xfId="1557"/>
    <cellStyle name="Texto de advertencia 3" xfId="1558"/>
    <cellStyle name="Texto de advertencia 3 2" xfId="1559"/>
    <cellStyle name="Texto de advertencia 3 3" xfId="1560"/>
    <cellStyle name="Texto de advertencia 3 4" xfId="1561"/>
    <cellStyle name="Texto de advertencia 3 5" xfId="1562"/>
    <cellStyle name="Texto de advertencia 4" xfId="1563"/>
    <cellStyle name="Texto de advertencia 4 2" xfId="1564"/>
    <cellStyle name="Texto de advertencia 4 3" xfId="1565"/>
    <cellStyle name="Texto de advertencia 4 4" xfId="1566"/>
    <cellStyle name="Texto de advertencia 4 5" xfId="1567"/>
    <cellStyle name="Texto de advertencia 5" xfId="1568"/>
    <cellStyle name="Texto de advertencia 5 2" xfId="1569"/>
    <cellStyle name="Texto de advertencia 5 3" xfId="1570"/>
    <cellStyle name="Texto de advertencia 5 4" xfId="1571"/>
    <cellStyle name="Texto de advertencia 5 5" xfId="1572"/>
    <cellStyle name="Texto de advertencia 6" xfId="1573"/>
    <cellStyle name="Texto de advertencia 6 2" xfId="1574"/>
    <cellStyle name="Texto de advertencia 7" xfId="1575"/>
    <cellStyle name="Texto de advertencia 8" xfId="1576"/>
    <cellStyle name="Texto de advertencia 9" xfId="1577"/>
    <cellStyle name="Texto explicativo" xfId="1578" builtinId="53" customBuiltin="1"/>
    <cellStyle name="Texto explicativo 2 2" xfId="1579"/>
    <cellStyle name="Title" xfId="1580"/>
    <cellStyle name="Título" xfId="1581" builtinId="15" customBuiltin="1"/>
    <cellStyle name="Título 1" xfId="1582" builtinId="16" customBuiltin="1"/>
    <cellStyle name="Título 1 2" xfId="1583"/>
    <cellStyle name="Título 1 2 2" xfId="1584"/>
    <cellStyle name="Título 1 2 3" xfId="1585"/>
    <cellStyle name="Título 1 2 4" xfId="1586"/>
    <cellStyle name="Título 1 2 5" xfId="1587"/>
    <cellStyle name="Título 1 2 6" xfId="1588"/>
    <cellStyle name="Título 1 3" xfId="1589"/>
    <cellStyle name="Título 1 3 2" xfId="1590"/>
    <cellStyle name="Título 1 3 3" xfId="1591"/>
    <cellStyle name="Título 1 3 4" xfId="1592"/>
    <cellStyle name="Título 1 3 5" xfId="1593"/>
    <cellStyle name="Título 1 4" xfId="1594"/>
    <cellStyle name="Título 1 4 2" xfId="1595"/>
    <cellStyle name="Título 1 4 3" xfId="1596"/>
    <cellStyle name="Título 1 4 4" xfId="1597"/>
    <cellStyle name="Título 1 4 5" xfId="1598"/>
    <cellStyle name="Título 1 5" xfId="1599"/>
    <cellStyle name="Título 1 5 2" xfId="1600"/>
    <cellStyle name="Título 1 5 3" xfId="1601"/>
    <cellStyle name="Título 1 5 4" xfId="1602"/>
    <cellStyle name="Título 1 5 5" xfId="1603"/>
    <cellStyle name="Título 1 6" xfId="1604"/>
    <cellStyle name="Título 1 7" xfId="1605"/>
    <cellStyle name="Título 1 8" xfId="1606"/>
    <cellStyle name="Título 1 9" xfId="1607"/>
    <cellStyle name="Título 2" xfId="1608" builtinId="17" customBuiltin="1"/>
    <cellStyle name="Título 2 2" xfId="1609"/>
    <cellStyle name="Título 2 2 2" xfId="1610"/>
    <cellStyle name="Título 2 2 3" xfId="1611"/>
    <cellStyle name="Título 2 2 4" xfId="1612"/>
    <cellStyle name="Título 2 2 5" xfId="1613"/>
    <cellStyle name="Título 2 2 6" xfId="1614"/>
    <cellStyle name="Título 2 3" xfId="1615"/>
    <cellStyle name="Título 2 3 2" xfId="1616"/>
    <cellStyle name="Título 2 3 3" xfId="1617"/>
    <cellStyle name="Título 2 3 4" xfId="1618"/>
    <cellStyle name="Título 2 3 5" xfId="1619"/>
    <cellStyle name="Título 2 4" xfId="1620"/>
    <cellStyle name="Título 2 4 2" xfId="1621"/>
    <cellStyle name="Título 2 4 3" xfId="1622"/>
    <cellStyle name="Título 2 4 4" xfId="1623"/>
    <cellStyle name="Título 2 4 5" xfId="1624"/>
    <cellStyle name="Título 2 5" xfId="1625"/>
    <cellStyle name="Título 2 5 2" xfId="1626"/>
    <cellStyle name="Título 2 5 3" xfId="1627"/>
    <cellStyle name="Título 2 5 4" xfId="1628"/>
    <cellStyle name="Título 2 5 5" xfId="1629"/>
    <cellStyle name="Título 2 6" xfId="1630"/>
    <cellStyle name="Título 2 6 2" xfId="1631"/>
    <cellStyle name="Título 2 7" xfId="1632"/>
    <cellStyle name="Título 2 8" xfId="1633"/>
    <cellStyle name="Título 2 9" xfId="1634"/>
    <cellStyle name="Título 3" xfId="1635" builtinId="18" customBuiltin="1"/>
    <cellStyle name="Título 3 2" xfId="1636"/>
    <cellStyle name="Título 3 2 2" xfId="1637"/>
    <cellStyle name="Título 3 2 3" xfId="1638"/>
    <cellStyle name="Título 3 2 4" xfId="1639"/>
    <cellStyle name="Título 3 2 5" xfId="1640"/>
    <cellStyle name="Título 3 2 6" xfId="1641"/>
    <cellStyle name="Título 3 3" xfId="1642"/>
    <cellStyle name="Título 3 3 2" xfId="1643"/>
    <cellStyle name="Título 3 3 3" xfId="1644"/>
    <cellStyle name="Título 3 3 4" xfId="1645"/>
    <cellStyle name="Título 3 3 5" xfId="1646"/>
    <cellStyle name="Título 3 4" xfId="1647"/>
    <cellStyle name="Título 3 4 2" xfId="1648"/>
    <cellStyle name="Título 3 4 3" xfId="1649"/>
    <cellStyle name="Título 3 4 4" xfId="1650"/>
    <cellStyle name="Título 3 4 5" xfId="1651"/>
    <cellStyle name="Título 3 5" xfId="1652"/>
    <cellStyle name="Título 3 5 2" xfId="1653"/>
    <cellStyle name="Título 3 5 3" xfId="1654"/>
    <cellStyle name="Título 3 5 4" xfId="1655"/>
    <cellStyle name="Título 3 5 5" xfId="1656"/>
    <cellStyle name="Título 3 6" xfId="1657"/>
    <cellStyle name="Título 3 6 2" xfId="1658"/>
    <cellStyle name="Título 3 7" xfId="1659"/>
    <cellStyle name="Título 3 8" xfId="1660"/>
    <cellStyle name="Título 3 9" xfId="1661"/>
    <cellStyle name="Total" xfId="1662" builtinId="25" customBuiltin="1"/>
    <cellStyle name="Total 2" xfId="1663"/>
    <cellStyle name="Total 2 2" xfId="1664"/>
    <cellStyle name="Total 2 3" xfId="1665"/>
    <cellStyle name="Total 2 4" xfId="1666"/>
    <cellStyle name="Total 2 5" xfId="1667"/>
    <cellStyle name="Total 2 6" xfId="1668"/>
    <cellStyle name="Total 3" xfId="1669"/>
    <cellStyle name="Total 3 2" xfId="1670"/>
    <cellStyle name="Total 3 3" xfId="1671"/>
    <cellStyle name="Total 3 4" xfId="1672"/>
    <cellStyle name="Total 3 5" xfId="1673"/>
    <cellStyle name="Total 4" xfId="1674"/>
    <cellStyle name="Total 4 2" xfId="1675"/>
    <cellStyle name="Total 4 3" xfId="1676"/>
    <cellStyle name="Total 4 4" xfId="1677"/>
    <cellStyle name="Total 4 5" xfId="1678"/>
    <cellStyle name="Total 5" xfId="1679"/>
    <cellStyle name="Total 5 2" xfId="1680"/>
    <cellStyle name="Total 5 3" xfId="1681"/>
    <cellStyle name="Total 5 4" xfId="1682"/>
    <cellStyle name="Total 5 5" xfId="1683"/>
    <cellStyle name="Total 6" xfId="1684"/>
    <cellStyle name="Total 7" xfId="1685"/>
    <cellStyle name="Total 8" xfId="1686"/>
    <cellStyle name="Total 9" xfId="1687"/>
    <cellStyle name="Tytu?" xfId="1688"/>
    <cellStyle name="Tytuł" xfId="1689"/>
    <cellStyle name="Uwaga" xfId="1690"/>
    <cellStyle name="Warning Text" xfId="1691"/>
    <cellStyle name="Warning Text 2" xfId="1692"/>
    <cellStyle name="Warning Text 3" xfId="1693"/>
    <cellStyle name="Warning Text 4" xfId="1694"/>
    <cellStyle name="Warning Text 5" xfId="1695"/>
    <cellStyle name="Z?e" xfId="1696"/>
    <cellStyle name="Złe" xfId="169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'Nuevos cuadros'!$J$70:$J$72</c:f>
              <c:strCache>
                <c:ptCount val="3"/>
                <c:pt idx="0">
                  <c:v>Bonds</c:v>
                </c:pt>
                <c:pt idx="1">
                  <c:v>Promissory notes</c:v>
                </c:pt>
                <c:pt idx="2">
                  <c:v>Bank Debt</c:v>
                </c:pt>
              </c:strCache>
            </c:strRef>
          </c:cat>
          <c:val>
            <c:numRef>
              <c:f>'Nuevos cuadros'!$K$70:$K$72</c:f>
              <c:numCache>
                <c:formatCode>0%</c:formatCode>
                <c:ptCount val="3"/>
                <c:pt idx="0">
                  <c:v>0.71</c:v>
                </c:pt>
                <c:pt idx="1">
                  <c:v>0.18</c:v>
                </c:pt>
                <c:pt idx="2">
                  <c:v>0.11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rgbClr val="EEECE1"/>
    </a:solidFill>
    <a:ln w="9525"/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'Nuevos cuadros'!$J$74:$J$75</c:f>
              <c:strCache>
                <c:ptCount val="2"/>
                <c:pt idx="0">
                  <c:v>Variable Rate </c:v>
                </c:pt>
                <c:pt idx="1">
                  <c:v>Fixed Rate</c:v>
                </c:pt>
              </c:strCache>
            </c:strRef>
          </c:cat>
          <c:val>
            <c:numRef>
              <c:f>'Nuevos cuadros'!$K$74:$K$75</c:f>
              <c:numCache>
                <c:formatCode>0%</c:formatCode>
                <c:ptCount val="2"/>
                <c:pt idx="0">
                  <c:v>0.11</c:v>
                </c:pt>
                <c:pt idx="1">
                  <c:v>0.89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65"/>
      </c:pieChart>
    </c:plotArea>
    <c:plotVisOnly val="1"/>
    <c:dispBlanksAs val="gap"/>
    <c:showDLblsOverMax val="0"/>
  </c:chart>
  <c:spPr>
    <a:solidFill>
      <a:schemeClr val="bg2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628650</xdr:colOff>
      <xdr:row>74</xdr:row>
      <xdr:rowOff>142874</xdr:rowOff>
    </xdr:from>
    <xdr:to>
      <xdr:col>6</xdr:col>
      <xdr:colOff>485775</xdr:colOff>
      <xdr:row>95</xdr:row>
      <xdr:rowOff>28575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790575</xdr:colOff>
      <xdr:row>74</xdr:row>
      <xdr:rowOff>133349</xdr:rowOff>
    </xdr:from>
    <xdr:to>
      <xdr:col>2</xdr:col>
      <xdr:colOff>371475</xdr:colOff>
      <xdr:row>95</xdr:row>
      <xdr:rowOff>76200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55525</xdr:colOff>
      <xdr:row>45</xdr:row>
      <xdr:rowOff>27661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09525" cy="73142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%20de%20consolidacion\SISTEMA-CONSOLIDACION\FECU%20%20IFRS\FECUS%20A&#209;O%202013\03%20Septiembre%202013\An&#225;lisis%20Razonado\IAM\Analisis%20Razonado%20Iam%20Sep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-CONSOLIDACION\FECU%20%20IFRS\FECUS%20A&#209;O%202013\04%20Diciembre%202013\Hoja%20de%20Trabajo%20Iam\Cuadros%20Fecu%20IAM%2012_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orvalan\MARZO\Documents%20and%20Settings\cdiazh\Mis%20documentos\C.D.H\IFRS\2010\FECU%20MARZO%202010\Balances\Flujo%202010\Flujo%20de%20Efectivo%20Marzo%20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orvalan\MARZO\Documents%20and%20Settings\cdiazh\Mis%20documentos\C.D.H\IFRS\2010\FECU%20MARZO%202010\Balances\Flujo%202009\Flujo%20de%20Efectivo%20Marzo%2020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-CONSOLIDACION\FECU%20%20IFRS\FECUS%20A&#209;O%202013\03%20Septiembre%202013\Estados%20Financieros\Sep%202013\Resultado%20Fecu%20092013%20v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SISTEMA-CONSOLIDACION\FECU%20%20IFRS\FECUS%20A&#209;O%202013\03%20Septiembre%202013\Estados%20Financieros\Sep%202012\Resultado%20Fecu%2030-09-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Cuadro Bce"/>
      <sheetName val="Indicadores"/>
      <sheetName val="Cuadro Resultado"/>
      <sheetName val="Cuadro Flujo"/>
      <sheetName val="Cuadros Gestión"/>
      <sheetName val="cálculos"/>
      <sheetName val="Balance"/>
      <sheetName val="Resultado"/>
      <sheetName val="Flujo"/>
      <sheetName val="Anualizados"/>
      <sheetName val="valor acción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D36">
            <v>579711900</v>
          </cell>
        </row>
        <row r="38">
          <cell r="D38">
            <v>1743023892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 122012"/>
      <sheetName val="Balance 122012"/>
      <sheetName val="Resultado 122013"/>
      <sheetName val="Balance 122013"/>
      <sheetName val="Inicio"/>
      <sheetName val="Balance Resumido_122013"/>
      <sheetName val="Activo"/>
      <sheetName val="Pasivo"/>
      <sheetName val="Resultado Resumino_122013"/>
      <sheetName val="Resultado Resumido_122012"/>
      <sheetName val="Estado de Resultado"/>
      <sheetName val="Flujo "/>
      <sheetName val="Eº Cambio Patrimonio"/>
      <sheetName val="Indice"/>
      <sheetName val="Nuevos pronunciamientos"/>
      <sheetName val="Subsidiarias"/>
      <sheetName val="N2.2L ME"/>
      <sheetName val="N2.W Reclasificaciones"/>
      <sheetName val="N4 Minoritarios"/>
      <sheetName val="N5 Otros Ing y Gtos"/>
      <sheetName val="N6 Combinacion de Negocios"/>
      <sheetName val="N6 EEFF Cons e Ind"/>
      <sheetName val="N7 E y EQ"/>
      <sheetName val="N8 Clase de instrumentos fin"/>
      <sheetName val="AFR, corriente"/>
      <sheetName val="AFR, no corriente"/>
      <sheetName val="Prestamos, corriente"/>
      <sheetName val="Prestamos, no corrientes"/>
      <sheetName val="Bonos, corriente"/>
      <sheetName val="Bonos, no corriente"/>
      <sheetName val="Riesgo de credito"/>
      <sheetName val="Perfil vencimiento"/>
      <sheetName val="Tasa de interes"/>
      <sheetName val="Analisis sensibilizacion"/>
      <sheetName val="Equivalentes al efectivo"/>
      <sheetName val="Otros activos financ"/>
      <sheetName val="Acreedores comerciales"/>
      <sheetName val="Valor justo"/>
      <sheetName val="N9 CxC"/>
      <sheetName val="BExRepositorySheet"/>
      <sheetName val="N9 CxP"/>
      <sheetName val="N9 Transacciones"/>
      <sheetName val="N9 Directorio y Comité"/>
      <sheetName val="N10 Inventarios "/>
      <sheetName val="N11 Nic 38 Intangible"/>
      <sheetName val="N12 Plusvalia"/>
      <sheetName val="N13 Nic 16 PPyE"/>
      <sheetName val="N14 Deterioro"/>
      <sheetName val="N15 Provisiones"/>
      <sheetName val="N16 Garantias y Rest"/>
      <sheetName val="N17 Ingresos ordinario"/>
      <sheetName val="N18 Arrendamiento (F)"/>
      <sheetName val="N18 Arrendamiento (O)"/>
      <sheetName val="N19 Beneficios empleados"/>
      <sheetName val="N20 Dif. de cambio"/>
      <sheetName val="N21 Otros gastos"/>
      <sheetName val="N22 Costo Financ"/>
      <sheetName val="N23 I. Renta y Dif"/>
      <sheetName val="N24 Ganancias por accion"/>
      <sheetName val="N25 Segmento"/>
      <sheetName val="N26 Medio ambien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7">
          <cell r="D7">
            <v>40299181</v>
          </cell>
          <cell r="E7">
            <v>37206648</v>
          </cell>
        </row>
        <row r="8">
          <cell r="D8">
            <v>232245</v>
          </cell>
          <cell r="E8">
            <v>1780010</v>
          </cell>
        </row>
        <row r="9">
          <cell r="D9">
            <v>87959258</v>
          </cell>
          <cell r="E9">
            <v>78145805</v>
          </cell>
        </row>
        <row r="10">
          <cell r="D10">
            <v>38941</v>
          </cell>
          <cell r="E10">
            <v>8215</v>
          </cell>
        </row>
        <row r="11">
          <cell r="D11">
            <v>3608089</v>
          </cell>
          <cell r="E11">
            <v>4383030</v>
          </cell>
        </row>
        <row r="12">
          <cell r="D12">
            <v>2485107</v>
          </cell>
          <cell r="E12">
            <v>1413152</v>
          </cell>
        </row>
        <row r="22">
          <cell r="D22">
            <v>7413197</v>
          </cell>
          <cell r="E22">
            <v>7367236</v>
          </cell>
        </row>
        <row r="23">
          <cell r="D23">
            <v>420067</v>
          </cell>
          <cell r="E23">
            <v>408949</v>
          </cell>
        </row>
        <row r="24">
          <cell r="D24">
            <v>1879762</v>
          </cell>
          <cell r="E24">
            <v>3035747</v>
          </cell>
        </row>
        <row r="25">
          <cell r="D25">
            <v>227347269</v>
          </cell>
          <cell r="E25">
            <v>225272517</v>
          </cell>
        </row>
        <row r="26">
          <cell r="D26">
            <v>307581431</v>
          </cell>
          <cell r="E26">
            <v>307581431</v>
          </cell>
        </row>
        <row r="27">
          <cell r="D27">
            <v>1171228114</v>
          </cell>
          <cell r="E27">
            <v>1152360531</v>
          </cell>
        </row>
        <row r="28">
          <cell r="D28">
            <v>263122</v>
          </cell>
          <cell r="E28">
            <v>324398</v>
          </cell>
        </row>
      </sheetData>
      <sheetData sheetId="7">
        <row r="6">
          <cell r="D6">
            <v>93620208</v>
          </cell>
          <cell r="E6">
            <v>56804996</v>
          </cell>
        </row>
        <row r="7">
          <cell r="D7">
            <v>98814724</v>
          </cell>
          <cell r="E7">
            <v>75531641</v>
          </cell>
        </row>
        <row r="8">
          <cell r="D8">
            <v>21941594</v>
          </cell>
          <cell r="E8">
            <v>27329086</v>
          </cell>
        </row>
        <row r="9">
          <cell r="D9">
            <v>918556</v>
          </cell>
          <cell r="E9">
            <v>1331679</v>
          </cell>
        </row>
        <row r="10">
          <cell r="D10">
            <v>88462</v>
          </cell>
          <cell r="E10">
            <v>1431184</v>
          </cell>
        </row>
        <row r="11">
          <cell r="D11">
            <v>4267442</v>
          </cell>
          <cell r="E11">
            <v>2972880</v>
          </cell>
        </row>
        <row r="12">
          <cell r="D12">
            <v>1381524</v>
          </cell>
          <cell r="E12">
            <v>1941637</v>
          </cell>
        </row>
        <row r="17">
          <cell r="D17">
            <v>626272073</v>
          </cell>
          <cell r="E17">
            <v>637349551</v>
          </cell>
        </row>
        <row r="18">
          <cell r="D18">
            <v>1862609</v>
          </cell>
          <cell r="E18">
            <v>1498799</v>
          </cell>
        </row>
        <row r="19">
          <cell r="D19">
            <v>1118746</v>
          </cell>
          <cell r="E19">
            <v>1094239</v>
          </cell>
        </row>
        <row r="20">
          <cell r="D20">
            <v>34360206</v>
          </cell>
          <cell r="E20">
            <v>37754591</v>
          </cell>
        </row>
        <row r="21">
          <cell r="D21">
            <v>8542371</v>
          </cell>
          <cell r="E21">
            <v>8677001</v>
          </cell>
        </row>
        <row r="22">
          <cell r="D22">
            <v>7888047</v>
          </cell>
          <cell r="E22">
            <v>9043975</v>
          </cell>
        </row>
        <row r="27">
          <cell r="D27">
            <v>468358402</v>
          </cell>
          <cell r="E27">
            <v>468358402</v>
          </cell>
        </row>
        <row r="28">
          <cell r="D28">
            <v>149822099</v>
          </cell>
          <cell r="E28">
            <v>152697656</v>
          </cell>
        </row>
        <row r="29">
          <cell r="D29">
            <v>-37268417</v>
          </cell>
          <cell r="E29">
            <v>-37268417</v>
          </cell>
        </row>
        <row r="31">
          <cell r="D31">
            <v>368767137</v>
          </cell>
          <cell r="E31">
            <v>372738769</v>
          </cell>
        </row>
      </sheetData>
      <sheetData sheetId="8" refreshError="1"/>
      <sheetData sheetId="9" refreshError="1"/>
      <sheetData sheetId="10">
        <row r="5">
          <cell r="D5">
            <v>402791320</v>
          </cell>
          <cell r="E5">
            <v>383027125</v>
          </cell>
        </row>
        <row r="6">
          <cell r="D6">
            <v>-27416534</v>
          </cell>
          <cell r="E6">
            <v>-29164206</v>
          </cell>
        </row>
        <row r="7">
          <cell r="D7">
            <v>-40811406</v>
          </cell>
          <cell r="E7">
            <v>-38488071</v>
          </cell>
        </row>
        <row r="8">
          <cell r="D8">
            <v>-64721070</v>
          </cell>
          <cell r="E8">
            <v>-55225495</v>
          </cell>
        </row>
        <row r="9">
          <cell r="D9">
            <v>-88149562</v>
          </cell>
          <cell r="E9">
            <v>-73857844</v>
          </cell>
        </row>
        <row r="10">
          <cell r="D10">
            <v>1326676</v>
          </cell>
          <cell r="E10">
            <v>628694</v>
          </cell>
        </row>
        <row r="11">
          <cell r="D11">
            <v>7056285</v>
          </cell>
          <cell r="E11">
            <v>8388892</v>
          </cell>
        </row>
        <row r="12">
          <cell r="D12">
            <v>-28886895</v>
          </cell>
          <cell r="E12">
            <v>-24172052</v>
          </cell>
        </row>
        <row r="13">
          <cell r="D13">
            <v>-1529</v>
          </cell>
          <cell r="E13">
            <v>-26734</v>
          </cell>
        </row>
        <row r="14">
          <cell r="D14">
            <v>-12954456</v>
          </cell>
          <cell r="E14">
            <v>-13885549</v>
          </cell>
        </row>
        <row r="16">
          <cell r="D16">
            <v>-29333029</v>
          </cell>
          <cell r="E16">
            <v>-35769001</v>
          </cell>
        </row>
        <row r="22">
          <cell r="D22">
            <v>61251947</v>
          </cell>
          <cell r="E22">
            <v>61241548</v>
          </cell>
        </row>
        <row r="25">
          <cell r="D25">
            <v>57.647852999999998</v>
          </cell>
          <cell r="E25">
            <v>60.214210999999999</v>
          </cell>
        </row>
        <row r="35">
          <cell r="E35">
            <v>-480845</v>
          </cell>
        </row>
        <row r="41">
          <cell r="E41">
            <v>60995615</v>
          </cell>
        </row>
      </sheetData>
      <sheetData sheetId="11">
        <row r="5">
          <cell r="D5">
            <v>463103771</v>
          </cell>
          <cell r="E5">
            <v>447900610</v>
          </cell>
        </row>
        <row r="8">
          <cell r="D8">
            <v>1602264</v>
          </cell>
          <cell r="E8">
            <v>218176</v>
          </cell>
        </row>
        <row r="9">
          <cell r="D9">
            <v>2370302</v>
          </cell>
          <cell r="E9">
            <v>3364838</v>
          </cell>
        </row>
        <row r="10">
          <cell r="D10">
            <v>-129712967</v>
          </cell>
          <cell r="E10">
            <v>-121648828</v>
          </cell>
        </row>
        <row r="12">
          <cell r="D12">
            <v>-40862248</v>
          </cell>
          <cell r="E12">
            <v>-40776422</v>
          </cell>
        </row>
        <row r="13">
          <cell r="D13">
            <v>-497783</v>
          </cell>
          <cell r="E13">
            <v>-2381745</v>
          </cell>
        </row>
        <row r="14">
          <cell r="D14">
            <v>-42234113</v>
          </cell>
          <cell r="E14">
            <v>-42893571</v>
          </cell>
        </row>
        <row r="17">
          <cell r="D17">
            <v>-20846867</v>
          </cell>
          <cell r="E17">
            <v>-14858268</v>
          </cell>
        </row>
        <row r="18">
          <cell r="D18">
            <v>2774606</v>
          </cell>
          <cell r="E18">
            <v>3500396</v>
          </cell>
        </row>
        <row r="19">
          <cell r="D19">
            <v>-31140125</v>
          </cell>
          <cell r="E19">
            <v>-27784327</v>
          </cell>
        </row>
        <row r="20">
          <cell r="D20">
            <v>-1964303</v>
          </cell>
          <cell r="E20">
            <v>-1940233</v>
          </cell>
        </row>
        <row r="22">
          <cell r="D22">
            <v>25502</v>
          </cell>
          <cell r="E22">
            <v>366659</v>
          </cell>
        </row>
        <row r="23">
          <cell r="D23">
            <v>-116823900</v>
          </cell>
          <cell r="E23">
            <v>-97590330</v>
          </cell>
        </row>
        <row r="25">
          <cell r="D25">
            <v>-191274</v>
          </cell>
          <cell r="E25">
            <v>-345465</v>
          </cell>
        </row>
        <row r="37">
          <cell r="D37">
            <v>-2039585</v>
          </cell>
          <cell r="E37">
            <v>-7800063</v>
          </cell>
        </row>
        <row r="43">
          <cell r="D43">
            <v>50933592</v>
          </cell>
          <cell r="E43">
            <v>135805272</v>
          </cell>
        </row>
        <row r="44">
          <cell r="D44">
            <v>0</v>
          </cell>
          <cell r="E44">
            <v>3168591</v>
          </cell>
        </row>
        <row r="47">
          <cell r="D47">
            <v>-43700509</v>
          </cell>
          <cell r="E47">
            <v>-90191909</v>
          </cell>
        </row>
        <row r="51">
          <cell r="D51">
            <v>-87498985</v>
          </cell>
          <cell r="E51">
            <v>-114608604</v>
          </cell>
        </row>
        <row r="54">
          <cell r="D54">
            <v>-204845</v>
          </cell>
          <cell r="E54">
            <v>-851305</v>
          </cell>
        </row>
        <row r="59">
          <cell r="D59">
            <v>37206648</v>
          </cell>
          <cell r="E59">
            <v>6553176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 refreshError="1">
        <row r="67">
          <cell r="Z67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 refreshError="1">
        <row r="67">
          <cell r="Z67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4000"/>
      <sheetName val="N2000"/>
      <sheetName val="N1000"/>
      <sheetName val="N5200"/>
    </sheetNames>
    <sheetDataSet>
      <sheetData sheetId="0" refreshError="1"/>
      <sheetData sheetId="1" refreshError="1"/>
      <sheetData sheetId="2">
        <row r="69">
          <cell r="O69">
            <v>211259587</v>
          </cell>
        </row>
      </sheetData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4000"/>
      <sheetName val="N2000"/>
      <sheetName val="N1000"/>
      <sheetName val="BExRepositorySheet"/>
      <sheetName val="N5200"/>
    </sheetNames>
    <sheetDataSet>
      <sheetData sheetId="0" refreshError="1"/>
      <sheetData sheetId="1" refreshError="1"/>
      <sheetData sheetId="2">
        <row r="71">
          <cell r="O71">
            <v>2142983988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  <pageSetUpPr fitToPage="1"/>
  </sheetPr>
  <dimension ref="A1:V203"/>
  <sheetViews>
    <sheetView showGridLines="0" topLeftCell="E1" workbookViewId="0">
      <selection activeCell="M14" sqref="M14"/>
    </sheetView>
  </sheetViews>
  <sheetFormatPr baseColWidth="10" defaultRowHeight="15" customHeight="1"/>
  <cols>
    <col min="1" max="1" width="3.85546875" style="74" customWidth="1"/>
    <col min="2" max="2" width="51.140625" style="74" customWidth="1"/>
    <col min="3" max="3" width="16.28515625" style="74" customWidth="1"/>
    <col min="4" max="4" width="18.85546875" style="74" bestFit="1" customWidth="1"/>
    <col min="5" max="5" width="18.5703125" style="74" bestFit="1" customWidth="1"/>
    <col min="6" max="6" width="16.7109375" style="74" customWidth="1"/>
    <col min="7" max="7" width="4.5703125" style="74" customWidth="1"/>
    <col min="8" max="8" width="31.5703125" style="74" customWidth="1"/>
    <col min="9" max="9" width="7.140625" style="74" customWidth="1"/>
    <col min="10" max="10" width="21" style="74" bestFit="1" customWidth="1"/>
    <col min="11" max="11" width="11.140625" style="282" customWidth="1"/>
    <col min="12" max="12" width="17.85546875" style="282" customWidth="1"/>
    <col min="13" max="13" width="11.140625" style="282" customWidth="1"/>
    <col min="14" max="14" width="1.7109375" style="282" customWidth="1"/>
    <col min="15" max="15" width="10.7109375" style="74" customWidth="1"/>
    <col min="16" max="16" width="11.7109375" style="283" customWidth="1"/>
    <col min="17" max="17" width="9.85546875" style="74" bestFit="1" customWidth="1"/>
    <col min="18" max="18" width="11.85546875" style="74" bestFit="1" customWidth="1"/>
    <col min="19" max="16384" width="11.42578125" style="74"/>
  </cols>
  <sheetData>
    <row r="1" spans="2:22" ht="15" customHeight="1">
      <c r="B1" s="72" t="s">
        <v>344</v>
      </c>
    </row>
    <row r="2" spans="2:22" ht="15" customHeight="1">
      <c r="B2" s="72" t="s">
        <v>374</v>
      </c>
      <c r="Q2" s="284"/>
      <c r="R2" s="284"/>
      <c r="S2" s="284"/>
      <c r="T2" s="285"/>
      <c r="U2" s="284"/>
      <c r="V2" s="284"/>
    </row>
    <row r="3" spans="2:22" ht="15" customHeight="1" thickBot="1">
      <c r="H3" s="286" t="s">
        <v>5</v>
      </c>
      <c r="L3" s="287"/>
      <c r="P3" s="288"/>
      <c r="Q3" s="289"/>
      <c r="R3" s="290"/>
      <c r="S3" s="284"/>
      <c r="T3" s="284"/>
      <c r="U3" s="284"/>
      <c r="V3" s="284"/>
    </row>
    <row r="4" spans="2:22" ht="15" customHeight="1" thickBot="1">
      <c r="B4" s="291" t="s">
        <v>7</v>
      </c>
      <c r="C4" s="292"/>
      <c r="D4" s="293" t="s">
        <v>365</v>
      </c>
      <c r="E4" s="294" t="s">
        <v>304</v>
      </c>
      <c r="F4" s="295"/>
      <c r="H4" s="72" t="s">
        <v>6</v>
      </c>
      <c r="J4" s="296" t="str">
        <f>+D4</f>
        <v>Diciembre 2013</v>
      </c>
      <c r="L4" s="296" t="str">
        <f>+E4</f>
        <v>Diciembre 2012</v>
      </c>
      <c r="N4" s="289"/>
      <c r="O4" s="297"/>
      <c r="P4" s="288"/>
      <c r="Q4" s="289"/>
      <c r="R4" s="298"/>
      <c r="S4" s="298"/>
      <c r="T4" s="299"/>
      <c r="U4" s="298"/>
      <c r="V4" s="298"/>
    </row>
    <row r="5" spans="2:22" ht="15" customHeight="1" thickBot="1">
      <c r="B5" s="300"/>
      <c r="C5" s="301"/>
      <c r="D5" s="301"/>
      <c r="E5" s="302"/>
      <c r="F5" s="289"/>
      <c r="H5" s="303" t="s">
        <v>8</v>
      </c>
      <c r="J5" s="304"/>
      <c r="K5" s="287"/>
      <c r="M5" s="287"/>
      <c r="N5" s="289"/>
      <c r="P5" s="305"/>
    </row>
    <row r="6" spans="2:22" ht="15" customHeight="1">
      <c r="B6" s="306" t="s">
        <v>49</v>
      </c>
      <c r="C6" s="307" t="s">
        <v>9</v>
      </c>
      <c r="D6" s="308">
        <f>+Balance!D20</f>
        <v>134622821</v>
      </c>
      <c r="E6" s="309">
        <f>+Balance!E20</f>
        <v>122936860</v>
      </c>
      <c r="F6" s="310"/>
      <c r="H6" s="72" t="s">
        <v>10</v>
      </c>
      <c r="J6" s="304"/>
      <c r="K6" s="287"/>
      <c r="M6" s="287"/>
      <c r="N6" s="289"/>
      <c r="O6" s="311"/>
      <c r="P6" s="288"/>
    </row>
    <row r="7" spans="2:22" ht="15" customHeight="1">
      <c r="B7" s="306" t="s">
        <v>50</v>
      </c>
      <c r="C7" s="307" t="s">
        <v>9</v>
      </c>
      <c r="D7" s="308">
        <f>+Balance!D31</f>
        <v>1716132962</v>
      </c>
      <c r="E7" s="309">
        <f>+Balance!E31</f>
        <v>1696350809</v>
      </c>
      <c r="F7" s="310"/>
      <c r="H7" s="76" t="s">
        <v>47</v>
      </c>
      <c r="I7" s="74" t="s">
        <v>12</v>
      </c>
      <c r="J7" s="312">
        <f>+D6</f>
        <v>134622821</v>
      </c>
      <c r="K7" s="313">
        <f>ROUND(J7/J8,2)</f>
        <v>0.61</v>
      </c>
      <c r="L7" s="312">
        <f>+E6</f>
        <v>122936860</v>
      </c>
      <c r="M7" s="313">
        <f>ROUND(L7/L8,2)</f>
        <v>0.73</v>
      </c>
      <c r="N7" s="314"/>
      <c r="O7" s="315">
        <f>ROUND((K7/M7)-1,4)</f>
        <v>-0.16439999999999999</v>
      </c>
      <c r="P7" s="316">
        <f>ROUND((J7/L7)-1,3)</f>
        <v>9.5000000000000001E-2</v>
      </c>
      <c r="Q7" s="304">
        <f>+J7-L7</f>
        <v>11685961</v>
      </c>
    </row>
    <row r="8" spans="2:22" ht="15" customHeight="1">
      <c r="B8" s="317" t="s">
        <v>13</v>
      </c>
      <c r="C8" s="318"/>
      <c r="D8" s="319">
        <f>SUM(D6:D7)</f>
        <v>1850755783</v>
      </c>
      <c r="E8" s="320">
        <f>SUM(E6:E7)</f>
        <v>1819287669</v>
      </c>
      <c r="F8" s="321"/>
      <c r="H8" s="289" t="s">
        <v>48</v>
      </c>
      <c r="J8" s="304">
        <f>+D10</f>
        <v>221032510</v>
      </c>
      <c r="K8" s="287"/>
      <c r="L8" s="304">
        <f>+E10</f>
        <v>167343103</v>
      </c>
      <c r="M8" s="287"/>
      <c r="N8" s="289"/>
      <c r="O8" s="322"/>
      <c r="P8" s="316">
        <f>ROUND((J8/L8)-1,3)</f>
        <v>0.32100000000000001</v>
      </c>
      <c r="Q8" s="304">
        <f>+J8-L8</f>
        <v>53689407</v>
      </c>
    </row>
    <row r="9" spans="2:22" ht="15" customHeight="1">
      <c r="B9" s="306"/>
      <c r="C9" s="301"/>
      <c r="D9" s="308"/>
      <c r="E9" s="309"/>
      <c r="F9" s="310"/>
      <c r="H9" s="323" t="s">
        <v>14</v>
      </c>
      <c r="J9" s="304"/>
      <c r="K9" s="287"/>
      <c r="L9" s="304"/>
      <c r="M9" s="287"/>
      <c r="N9" s="289"/>
      <c r="O9" s="324"/>
      <c r="P9" s="288"/>
    </row>
    <row r="10" spans="2:22" ht="15" customHeight="1">
      <c r="B10" s="306" t="s">
        <v>52</v>
      </c>
      <c r="C10" s="307" t="s">
        <v>9</v>
      </c>
      <c r="D10" s="308">
        <f>+Balance!D50</f>
        <v>221032510</v>
      </c>
      <c r="E10" s="309">
        <f>+Balance!E50</f>
        <v>167343103</v>
      </c>
      <c r="F10" s="310">
        <f>+D10-E10</f>
        <v>53689407</v>
      </c>
      <c r="H10" s="325" t="s">
        <v>57</v>
      </c>
      <c r="I10" s="74" t="s">
        <v>12</v>
      </c>
      <c r="J10" s="312">
        <f>+D33</f>
        <v>40299181</v>
      </c>
      <c r="K10" s="313">
        <f>ROUND(J10/J11,2)</f>
        <v>0.18</v>
      </c>
      <c r="L10" s="312">
        <f>+F33</f>
        <v>37206648</v>
      </c>
      <c r="M10" s="313">
        <f>ROUND(L10/L11,2)</f>
        <v>0.22</v>
      </c>
      <c r="N10" s="314"/>
      <c r="O10" s="315">
        <f>ROUND((K10/M10)-1,4)</f>
        <v>-0.18179999999999999</v>
      </c>
      <c r="P10" s="316">
        <f>ROUND((J10/L10)-1,3)</f>
        <v>8.3000000000000004E-2</v>
      </c>
      <c r="Q10" s="304">
        <f>+J10-L10</f>
        <v>3092533</v>
      </c>
      <c r="R10" s="467">
        <f>+K10-M10</f>
        <v>-4.0000000000000008E-2</v>
      </c>
    </row>
    <row r="11" spans="2:22" ht="15" customHeight="1" thickBot="1">
      <c r="B11" s="306" t="s">
        <v>51</v>
      </c>
      <c r="C11" s="307" t="s">
        <v>9</v>
      </c>
      <c r="D11" s="308">
        <f>+Balance!D59</f>
        <v>680044052</v>
      </c>
      <c r="E11" s="309">
        <f>+Balance!E59</f>
        <v>695418156</v>
      </c>
      <c r="F11" s="310">
        <f>+D11-E11</f>
        <v>-15374104</v>
      </c>
      <c r="H11" s="289" t="s">
        <v>48</v>
      </c>
      <c r="J11" s="304">
        <f>+D10</f>
        <v>221032510</v>
      </c>
      <c r="K11" s="287"/>
      <c r="L11" s="304">
        <f>+E10</f>
        <v>167343103</v>
      </c>
      <c r="M11" s="287"/>
      <c r="N11" s="289"/>
      <c r="O11" s="322"/>
      <c r="P11" s="316">
        <f>ROUND((J11/L11)-1,3)</f>
        <v>0.32100000000000001</v>
      </c>
      <c r="Q11" s="304">
        <f>+J11-L11</f>
        <v>53689407</v>
      </c>
      <c r="R11" s="74">
        <f>+R10/M10</f>
        <v>-0.18181818181818185</v>
      </c>
    </row>
    <row r="12" spans="2:22" ht="15" customHeight="1" thickBot="1">
      <c r="B12" s="306" t="s">
        <v>53</v>
      </c>
      <c r="C12" s="307" t="s">
        <v>9</v>
      </c>
      <c r="D12" s="308">
        <f>+Balance!D71</f>
        <v>368767137</v>
      </c>
      <c r="E12" s="309">
        <f>+Balance!E71</f>
        <v>372738769</v>
      </c>
      <c r="F12" s="310"/>
      <c r="H12" s="303" t="s">
        <v>15</v>
      </c>
      <c r="J12" s="304"/>
      <c r="K12" s="287"/>
      <c r="L12" s="304"/>
      <c r="M12" s="287"/>
      <c r="N12" s="289"/>
      <c r="O12" s="322"/>
      <c r="P12" s="288"/>
    </row>
    <row r="13" spans="2:22" ht="15" customHeight="1">
      <c r="B13" s="306" t="s">
        <v>124</v>
      </c>
      <c r="C13" s="307" t="s">
        <v>9</v>
      </c>
      <c r="D13" s="308">
        <f>+Balance!D70</f>
        <v>580912084</v>
      </c>
      <c r="E13" s="309">
        <f>+Balance!E70</f>
        <v>583787641</v>
      </c>
      <c r="F13" s="310">
        <f>+D12+D13-E12-E13</f>
        <v>-6847189</v>
      </c>
      <c r="H13" s="72" t="s">
        <v>16</v>
      </c>
      <c r="J13" s="304"/>
      <c r="K13" s="287"/>
      <c r="L13" s="304"/>
      <c r="M13" s="287"/>
      <c r="N13" s="289"/>
      <c r="O13" s="322"/>
      <c r="P13" s="288"/>
    </row>
    <row r="14" spans="2:22" ht="15" customHeight="1" thickBot="1">
      <c r="B14" s="326" t="s">
        <v>13</v>
      </c>
      <c r="C14" s="327"/>
      <c r="D14" s="328">
        <f>SUM(D10:D13)</f>
        <v>1850755783</v>
      </c>
      <c r="E14" s="329">
        <f>SUM(E10:E13)</f>
        <v>1819287669</v>
      </c>
      <c r="F14" s="321"/>
      <c r="H14" s="76" t="s">
        <v>17</v>
      </c>
      <c r="I14" s="74" t="s">
        <v>12</v>
      </c>
      <c r="J14" s="312">
        <f>+D10+D11</f>
        <v>901076562</v>
      </c>
      <c r="K14" s="330">
        <f>ROUND(J14/J15,2)</f>
        <v>0.95</v>
      </c>
      <c r="L14" s="312">
        <f>+E10+E11</f>
        <v>862761259</v>
      </c>
      <c r="M14" s="330">
        <f>ROUND(L14/L15,2)</f>
        <v>0.9</v>
      </c>
      <c r="N14" s="331"/>
      <c r="O14" s="315">
        <f>ROUND((K14/M14)-1,4)</f>
        <v>5.5599999999999997E-2</v>
      </c>
      <c r="P14" s="316">
        <f>ROUND((J14/L14)-1,3)</f>
        <v>4.3999999999999997E-2</v>
      </c>
      <c r="Q14" s="304">
        <f>+J14-L14</f>
        <v>38315303</v>
      </c>
    </row>
    <row r="15" spans="2:22" ht="15" customHeight="1" thickBot="1">
      <c r="B15" s="332"/>
      <c r="C15" s="284"/>
      <c r="D15" s="333"/>
      <c r="E15" s="333"/>
      <c r="F15" s="333"/>
      <c r="H15" s="74" t="s">
        <v>114</v>
      </c>
      <c r="J15" s="304">
        <f>+D13+D12</f>
        <v>949679221</v>
      </c>
      <c r="K15" s="287"/>
      <c r="L15" s="304">
        <f>+E13+E12</f>
        <v>956526410</v>
      </c>
      <c r="M15" s="287"/>
      <c r="N15" s="289"/>
      <c r="O15" s="322"/>
      <c r="P15" s="316">
        <f>ROUND((J15/L15)-1,3)</f>
        <v>-7.0000000000000001E-3</v>
      </c>
      <c r="Q15" s="304">
        <f>+J15-L15</f>
        <v>-6847189</v>
      </c>
    </row>
    <row r="16" spans="2:22" ht="15" customHeight="1">
      <c r="B16" s="291" t="s">
        <v>18</v>
      </c>
      <c r="C16" s="292"/>
      <c r="D16" s="334" t="str">
        <f>+D4</f>
        <v>Diciembre 2013</v>
      </c>
      <c r="E16" s="293" t="s">
        <v>304</v>
      </c>
      <c r="F16" s="293" t="s">
        <v>304</v>
      </c>
      <c r="H16" s="72" t="s">
        <v>19</v>
      </c>
      <c r="J16" s="304"/>
      <c r="K16" s="287"/>
      <c r="L16" s="304"/>
      <c r="M16" s="287"/>
      <c r="N16" s="289"/>
      <c r="O16" s="311"/>
      <c r="P16" s="288"/>
    </row>
    <row r="17" spans="1:20" ht="15" customHeight="1">
      <c r="B17" s="335"/>
      <c r="C17" s="336"/>
      <c r="D17" s="337"/>
      <c r="E17" s="337"/>
      <c r="F17" s="337"/>
      <c r="H17" s="338" t="s">
        <v>48</v>
      </c>
      <c r="I17" s="74" t="s">
        <v>12</v>
      </c>
      <c r="J17" s="312">
        <f>+D10</f>
        <v>221032510</v>
      </c>
      <c r="K17" s="330">
        <f>ROUND(J17/J18,2)</f>
        <v>0.25</v>
      </c>
      <c r="L17" s="312">
        <f>+E10</f>
        <v>167343103</v>
      </c>
      <c r="M17" s="330">
        <f>ROUND(L17/L18,2)</f>
        <v>0.19</v>
      </c>
      <c r="N17" s="331"/>
      <c r="O17" s="315">
        <f>ROUND((K17/M17)-1,4)</f>
        <v>0.31580000000000003</v>
      </c>
      <c r="P17" s="316">
        <f>ROUND((J17/L17)-1,3)</f>
        <v>0.32100000000000001</v>
      </c>
      <c r="Q17" s="304">
        <f>+J17-L17</f>
        <v>53689407</v>
      </c>
    </row>
    <row r="18" spans="1:20" ht="15" customHeight="1">
      <c r="B18" s="339" t="s">
        <v>62</v>
      </c>
      <c r="C18" s="340" t="s">
        <v>9</v>
      </c>
      <c r="D18" s="337">
        <f>+C50</f>
        <v>402791320</v>
      </c>
      <c r="E18" s="337">
        <f>+D50</f>
        <v>383027125</v>
      </c>
      <c r="F18" s="337">
        <f>+E18</f>
        <v>383027125</v>
      </c>
      <c r="H18" s="74" t="s">
        <v>20</v>
      </c>
      <c r="J18" s="304">
        <f>+D10+D11</f>
        <v>901076562</v>
      </c>
      <c r="K18" s="287"/>
      <c r="L18" s="304">
        <f>+E10+E11</f>
        <v>862761259</v>
      </c>
      <c r="M18" s="287"/>
      <c r="N18" s="289"/>
      <c r="O18" s="322"/>
      <c r="P18" s="316">
        <f>ROUND((J18/L18)-1,3)</f>
        <v>4.3999999999999997E-2</v>
      </c>
      <c r="Q18" s="304">
        <f>+J18-L18</f>
        <v>38315303</v>
      </c>
    </row>
    <row r="19" spans="1:20" ht="15" customHeight="1">
      <c r="B19" s="339" t="s">
        <v>63</v>
      </c>
      <c r="C19" s="340" t="s">
        <v>9</v>
      </c>
      <c r="D19" s="337">
        <f>-C51-C53-C54-C55-C52</f>
        <v>221098572</v>
      </c>
      <c r="E19" s="337">
        <f>-D51-D53-D54-D55-D52</f>
        <v>196735616</v>
      </c>
      <c r="F19" s="337">
        <f t="shared" ref="F19:F25" si="0">+E19</f>
        <v>196735616</v>
      </c>
      <c r="H19" s="72" t="s">
        <v>21</v>
      </c>
      <c r="J19" s="304"/>
      <c r="K19" s="287"/>
      <c r="L19" s="304"/>
      <c r="M19" s="287"/>
      <c r="N19" s="289"/>
      <c r="O19" s="311"/>
      <c r="P19" s="341"/>
      <c r="Q19" s="342"/>
      <c r="R19" s="322"/>
      <c r="T19" s="304"/>
    </row>
    <row r="20" spans="1:20" ht="15" customHeight="1">
      <c r="B20" s="335" t="s">
        <v>79</v>
      </c>
      <c r="C20" s="336" t="s">
        <v>9</v>
      </c>
      <c r="D20" s="343">
        <f>+C64</f>
        <v>148232829</v>
      </c>
      <c r="E20" s="343">
        <f>+D64</f>
        <v>157224760</v>
      </c>
      <c r="F20" s="343">
        <f t="shared" si="0"/>
        <v>157224760</v>
      </c>
      <c r="H20" s="338" t="s">
        <v>58</v>
      </c>
      <c r="I20" s="74" t="s">
        <v>12</v>
      </c>
      <c r="J20" s="312">
        <f>+D11</f>
        <v>680044052</v>
      </c>
      <c r="K20" s="330">
        <f>ROUND(J20/J21,2)</f>
        <v>0.75</v>
      </c>
      <c r="L20" s="312">
        <f>+E11</f>
        <v>695418156</v>
      </c>
      <c r="M20" s="330">
        <f>ROUND(L20/L21,2)</f>
        <v>0.81</v>
      </c>
      <c r="N20" s="331"/>
      <c r="O20" s="315">
        <f>ROUND((K20/M20)-1,4)</f>
        <v>-7.4099999999999999E-2</v>
      </c>
      <c r="P20" s="316">
        <f>ROUND((J20/L20)-1,3)</f>
        <v>-2.1999999999999999E-2</v>
      </c>
      <c r="Q20" s="304">
        <f>+J20-L20</f>
        <v>-15374104</v>
      </c>
      <c r="R20" s="322"/>
      <c r="T20" s="304"/>
    </row>
    <row r="21" spans="1:20" ht="15" customHeight="1">
      <c r="B21" s="339" t="s">
        <v>24</v>
      </c>
      <c r="C21" s="340" t="s">
        <v>9</v>
      </c>
      <c r="D21" s="337">
        <f>+C58</f>
        <v>-28886895</v>
      </c>
      <c r="E21" s="337">
        <f>+D58</f>
        <v>-24172052</v>
      </c>
      <c r="F21" s="337">
        <f t="shared" si="0"/>
        <v>-24172052</v>
      </c>
      <c r="H21" s="74" t="s">
        <v>20</v>
      </c>
      <c r="J21" s="304">
        <f>+J18</f>
        <v>901076562</v>
      </c>
      <c r="K21" s="287" t="s">
        <v>5</v>
      </c>
      <c r="L21" s="304">
        <f>+L18</f>
        <v>862761259</v>
      </c>
      <c r="M21" s="287" t="s">
        <v>5</v>
      </c>
      <c r="N21" s="289"/>
      <c r="O21" s="322"/>
      <c r="P21" s="316">
        <f>ROUND((J21/L21)-1,3)</f>
        <v>4.3999999999999997E-2</v>
      </c>
      <c r="Q21" s="304">
        <f>+J21-L21</f>
        <v>38315303</v>
      </c>
      <c r="T21" s="304"/>
    </row>
    <row r="22" spans="1:20" ht="15" customHeight="1">
      <c r="B22" s="339" t="s">
        <v>26</v>
      </c>
      <c r="C22" s="340" t="s">
        <v>9</v>
      </c>
      <c r="D22" s="337">
        <f>+J32</f>
        <v>119336900</v>
      </c>
      <c r="E22" s="337">
        <f>+K32</f>
        <v>0</v>
      </c>
      <c r="F22" s="337">
        <f t="shared" si="0"/>
        <v>0</v>
      </c>
      <c r="H22" s="72" t="s">
        <v>22</v>
      </c>
      <c r="J22" s="304"/>
      <c r="K22" s="287"/>
      <c r="L22" s="304"/>
      <c r="M22" s="287"/>
      <c r="N22" s="289"/>
      <c r="O22" s="322"/>
      <c r="P22" s="344"/>
    </row>
    <row r="23" spans="1:20" ht="15" customHeight="1">
      <c r="B23" s="339" t="s">
        <v>27</v>
      </c>
      <c r="C23" s="340" t="s">
        <v>9</v>
      </c>
      <c r="D23" s="337">
        <f>+C68</f>
        <v>57647853</v>
      </c>
      <c r="E23" s="337">
        <f>+D68</f>
        <v>60214211</v>
      </c>
      <c r="F23" s="337">
        <f t="shared" si="0"/>
        <v>60214211</v>
      </c>
      <c r="H23" s="76" t="s">
        <v>23</v>
      </c>
      <c r="I23" s="284"/>
      <c r="J23" s="345">
        <f>+D20-D21</f>
        <v>177119724</v>
      </c>
      <c r="K23" s="313">
        <f>ROUND(J23/J24,2)</f>
        <v>6.13</v>
      </c>
      <c r="L23" s="345">
        <f>+F20-F21</f>
        <v>181396812</v>
      </c>
      <c r="M23" s="313">
        <f>ROUND(L23/L24,2)</f>
        <v>7.5</v>
      </c>
      <c r="N23" s="346"/>
      <c r="O23" s="315">
        <f>ROUND((K23/M23)-1,4)</f>
        <v>-0.1827</v>
      </c>
      <c r="P23" s="316">
        <f>ROUND((J23/L23)-1,3)</f>
        <v>-2.4E-2</v>
      </c>
      <c r="Q23" s="304">
        <f>+J23-L23</f>
        <v>-4277088</v>
      </c>
    </row>
    <row r="24" spans="1:20" ht="15" customHeight="1" thickBot="1">
      <c r="B24" s="339" t="s">
        <v>28</v>
      </c>
      <c r="C24" s="340" t="s">
        <v>9</v>
      </c>
      <c r="D24" s="337">
        <f>+C65</f>
        <v>-29333029</v>
      </c>
      <c r="E24" s="337">
        <f>+D65</f>
        <v>-35769001</v>
      </c>
      <c r="F24" s="337">
        <f t="shared" si="0"/>
        <v>-35769001</v>
      </c>
      <c r="H24" s="289" t="s">
        <v>25</v>
      </c>
      <c r="J24" s="287">
        <f>-D21</f>
        <v>28886895</v>
      </c>
      <c r="K24" s="347"/>
      <c r="L24" s="287">
        <f>-E58</f>
        <v>24172052</v>
      </c>
      <c r="M24" s="347"/>
      <c r="N24" s="289"/>
      <c r="O24" s="304"/>
      <c r="P24" s="426">
        <f>ROUND((J24/L24)-1,3)</f>
        <v>0.19500000000000001</v>
      </c>
      <c r="Q24" s="304">
        <f>+J24-L24</f>
        <v>4714843</v>
      </c>
      <c r="T24" s="348"/>
    </row>
    <row r="25" spans="1:20" ht="15" customHeight="1" thickBot="1">
      <c r="B25" s="349" t="s">
        <v>64</v>
      </c>
      <c r="C25" s="350" t="s">
        <v>9</v>
      </c>
      <c r="D25" s="351">
        <f>+C53</f>
        <v>-64721070</v>
      </c>
      <c r="E25" s="351">
        <f>+D53</f>
        <v>-55225495</v>
      </c>
      <c r="F25" s="351">
        <f t="shared" si="0"/>
        <v>-55225495</v>
      </c>
      <c r="H25" s="427" t="s">
        <v>29</v>
      </c>
      <c r="I25" s="428"/>
      <c r="J25" s="429"/>
      <c r="K25" s="430"/>
      <c r="L25" s="429"/>
      <c r="M25" s="430"/>
      <c r="N25" s="431"/>
      <c r="O25" s="432"/>
      <c r="P25" s="431"/>
      <c r="Q25" s="282"/>
      <c r="T25" s="282"/>
    </row>
    <row r="26" spans="1:20" ht="15" customHeight="1" thickBot="1">
      <c r="B26" s="284"/>
      <c r="C26" s="298"/>
      <c r="D26" s="352"/>
      <c r="E26" s="353"/>
      <c r="F26" s="352"/>
      <c r="H26" s="428" t="s">
        <v>59</v>
      </c>
      <c r="I26" s="428" t="s">
        <v>12</v>
      </c>
      <c r="J26" s="433">
        <f>+D23</f>
        <v>57647853</v>
      </c>
      <c r="K26" s="430"/>
      <c r="L26" s="433">
        <f>+F23</f>
        <v>60214211</v>
      </c>
      <c r="M26" s="430"/>
      <c r="N26" s="431"/>
      <c r="O26" s="432"/>
      <c r="P26" s="431">
        <v>1000</v>
      </c>
      <c r="R26" s="322"/>
    </row>
    <row r="27" spans="1:20" ht="15" customHeight="1">
      <c r="A27" s="354"/>
      <c r="B27" s="291" t="s">
        <v>78</v>
      </c>
      <c r="C27" s="292"/>
      <c r="D27" s="355" t="str">
        <f>+D4</f>
        <v>Diciembre 2013</v>
      </c>
      <c r="E27" s="355" t="str">
        <f>+E16</f>
        <v>Diciembre 2012</v>
      </c>
      <c r="F27" s="356" t="str">
        <f>+E4</f>
        <v>Diciembre 2012</v>
      </c>
      <c r="H27" s="428" t="s">
        <v>31</v>
      </c>
      <c r="I27" s="428" t="s">
        <v>12</v>
      </c>
      <c r="J27" s="433">
        <f>-D24</f>
        <v>29333029</v>
      </c>
      <c r="K27" s="430"/>
      <c r="L27" s="433">
        <f>-F24</f>
        <v>35769001</v>
      </c>
      <c r="M27" s="430"/>
      <c r="N27" s="431"/>
      <c r="O27" s="432"/>
      <c r="P27" s="431"/>
      <c r="Q27" s="348"/>
      <c r="R27" s="322"/>
      <c r="T27" s="348"/>
    </row>
    <row r="28" spans="1:20" ht="15" customHeight="1">
      <c r="B28" s="306" t="s">
        <v>54</v>
      </c>
      <c r="C28" s="307" t="s">
        <v>9</v>
      </c>
      <c r="D28" s="357">
        <f>+Flujo!F23</f>
        <v>202592537</v>
      </c>
      <c r="E28" s="357">
        <f>+Flujo!G23</f>
        <v>202700626</v>
      </c>
      <c r="F28" s="358">
        <f>+E28</f>
        <v>202700626</v>
      </c>
      <c r="H28" s="428" t="s">
        <v>32</v>
      </c>
      <c r="I28" s="428" t="s">
        <v>12</v>
      </c>
      <c r="J28" s="433">
        <f>-D21</f>
        <v>28886895</v>
      </c>
      <c r="K28" s="430"/>
      <c r="L28" s="433">
        <f>-F21</f>
        <v>24172052</v>
      </c>
      <c r="M28" s="430"/>
      <c r="N28" s="434"/>
      <c r="O28" s="432"/>
      <c r="P28" s="434"/>
      <c r="Q28" s="287"/>
      <c r="R28" s="322"/>
      <c r="T28" s="287"/>
    </row>
    <row r="29" spans="1:20" ht="15" customHeight="1">
      <c r="A29" s="359"/>
      <c r="B29" s="306" t="s">
        <v>55</v>
      </c>
      <c r="C29" s="307" t="s">
        <v>9</v>
      </c>
      <c r="D29" s="357">
        <f>+Flujo!F49</f>
        <v>-119029257</v>
      </c>
      <c r="E29" s="357">
        <f>+Flujo!G49</f>
        <v>-105369199</v>
      </c>
      <c r="F29" s="358">
        <f>+E29</f>
        <v>-105369199</v>
      </c>
      <c r="H29" s="428" t="s">
        <v>65</v>
      </c>
      <c r="I29" s="428" t="s">
        <v>12</v>
      </c>
      <c r="J29" s="433">
        <f>-D25</f>
        <v>64721070</v>
      </c>
      <c r="K29" s="430"/>
      <c r="L29" s="433">
        <f>-F25</f>
        <v>55225495</v>
      </c>
      <c r="M29" s="430"/>
      <c r="N29" s="431"/>
      <c r="O29" s="432"/>
      <c r="P29" s="431"/>
      <c r="R29" s="322"/>
    </row>
    <row r="30" spans="1:20" ht="15" customHeight="1">
      <c r="A30" s="360"/>
      <c r="B30" s="306" t="s">
        <v>56</v>
      </c>
      <c r="C30" s="307" t="s">
        <v>9</v>
      </c>
      <c r="D30" s="357">
        <f>+Flujo!F67</f>
        <v>-80470747</v>
      </c>
      <c r="E30" s="357">
        <f>+Flujo!G67</f>
        <v>-66677955</v>
      </c>
      <c r="F30" s="358">
        <f>+E30</f>
        <v>-66677955</v>
      </c>
      <c r="H30" s="428" t="s">
        <v>66</v>
      </c>
      <c r="I30" s="428" t="s">
        <v>12</v>
      </c>
      <c r="J30" s="433">
        <f>-C66</f>
        <v>-61251947</v>
      </c>
      <c r="K30" s="435"/>
      <c r="L30" s="433">
        <f>-E66</f>
        <v>-61241548</v>
      </c>
      <c r="M30" s="435"/>
      <c r="N30" s="431"/>
      <c r="O30" s="432"/>
      <c r="P30" s="431"/>
      <c r="Q30" s="361"/>
      <c r="R30" s="322"/>
      <c r="T30" s="361"/>
    </row>
    <row r="31" spans="1:20" ht="15" customHeight="1">
      <c r="A31" s="360"/>
      <c r="B31" s="300" t="s">
        <v>30</v>
      </c>
      <c r="C31" s="307" t="s">
        <v>9</v>
      </c>
      <c r="D31" s="362">
        <f>SUM(D28:D30)</f>
        <v>3092533</v>
      </c>
      <c r="E31" s="362">
        <f>SUM(E28:E30)</f>
        <v>30653472</v>
      </c>
      <c r="F31" s="363">
        <f>+E31</f>
        <v>30653472</v>
      </c>
      <c r="H31" s="428" t="s">
        <v>35</v>
      </c>
      <c r="I31" s="428" t="s">
        <v>12</v>
      </c>
      <c r="J31" s="433">
        <v>0</v>
      </c>
      <c r="K31" s="430"/>
      <c r="L31" s="433">
        <v>0</v>
      </c>
      <c r="M31" s="430"/>
      <c r="N31" s="431"/>
      <c r="O31" s="432"/>
      <c r="P31" s="431"/>
      <c r="R31" s="322"/>
    </row>
    <row r="32" spans="1:20" ht="15" customHeight="1">
      <c r="A32" s="360"/>
      <c r="B32" s="306" t="s">
        <v>33</v>
      </c>
      <c r="C32" s="307" t="s">
        <v>9</v>
      </c>
      <c r="D32" s="357">
        <f>+Flujo!F75</f>
        <v>37206648</v>
      </c>
      <c r="E32" s="357">
        <f>+Flujo!G75</f>
        <v>6553176</v>
      </c>
      <c r="F32" s="358">
        <f>+E32</f>
        <v>6553176</v>
      </c>
      <c r="H32" s="436" t="s">
        <v>26</v>
      </c>
      <c r="I32" s="428"/>
      <c r="J32" s="437">
        <f>SUM(J26:J31)</f>
        <v>119336900</v>
      </c>
      <c r="K32" s="430"/>
      <c r="L32" s="437">
        <f>SUM(L26:L31)</f>
        <v>114139211</v>
      </c>
      <c r="M32" s="438">
        <f>ROUND((J32/L32)-1,4)</f>
        <v>4.5499999999999999E-2</v>
      </c>
      <c r="N32" s="434"/>
      <c r="O32" s="439"/>
      <c r="P32" s="428"/>
      <c r="R32" s="322"/>
    </row>
    <row r="33" spans="2:20" ht="15" customHeight="1" thickBot="1">
      <c r="B33" s="326" t="s">
        <v>34</v>
      </c>
      <c r="C33" s="365" t="s">
        <v>9</v>
      </c>
      <c r="D33" s="366">
        <f>+D32+D31</f>
        <v>40299181</v>
      </c>
      <c r="E33" s="366">
        <f>+E32+E31</f>
        <v>37206648</v>
      </c>
      <c r="F33" s="366">
        <f>+F32+F31</f>
        <v>37206648</v>
      </c>
      <c r="H33" s="436"/>
      <c r="I33" s="428"/>
      <c r="J33" s="429"/>
      <c r="K33" s="430"/>
      <c r="L33" s="429"/>
      <c r="M33" s="430"/>
      <c r="N33" s="434"/>
      <c r="O33" s="432"/>
      <c r="P33" s="428"/>
      <c r="Q33" s="367"/>
      <c r="R33" s="322"/>
      <c r="T33" s="367"/>
    </row>
    <row r="34" spans="2:20" ht="15" customHeight="1" thickBot="1">
      <c r="H34" s="436"/>
      <c r="I34" s="428"/>
      <c r="J34" s="429"/>
      <c r="K34" s="440"/>
      <c r="L34" s="429"/>
      <c r="M34" s="440"/>
      <c r="N34" s="434"/>
      <c r="O34" s="439"/>
      <c r="P34" s="441"/>
      <c r="Q34" s="287"/>
      <c r="R34" s="322"/>
      <c r="T34" s="287"/>
    </row>
    <row r="35" spans="2:20" ht="15" customHeight="1">
      <c r="B35" s="369" t="s">
        <v>107</v>
      </c>
      <c r="C35" s="370" t="s">
        <v>304</v>
      </c>
      <c r="D35" s="371">
        <f>+E13</f>
        <v>583787641</v>
      </c>
      <c r="E35" s="322"/>
      <c r="F35" s="322"/>
      <c r="H35" s="436" t="s">
        <v>60</v>
      </c>
      <c r="I35" s="428"/>
      <c r="J35" s="429">
        <f>+D18</f>
        <v>402791320</v>
      </c>
      <c r="K35" s="430"/>
      <c r="L35" s="429">
        <f>+E18</f>
        <v>383027125</v>
      </c>
      <c r="M35" s="430"/>
      <c r="N35" s="434"/>
      <c r="O35" s="428"/>
      <c r="P35" s="441">
        <f>ROUND((J35/L35)-1,4)</f>
        <v>5.16E-2</v>
      </c>
      <c r="R35" s="322"/>
    </row>
    <row r="36" spans="2:20" ht="15" customHeight="1" thickBot="1">
      <c r="B36" s="372" t="s">
        <v>107</v>
      </c>
      <c r="C36" s="373" t="s">
        <v>143</v>
      </c>
      <c r="D36" s="374">
        <f>+[1]cálculos!$D$36</f>
        <v>579711900</v>
      </c>
      <c r="E36" s="322"/>
      <c r="F36" s="322"/>
      <c r="H36" s="72"/>
      <c r="J36" s="364"/>
      <c r="K36" s="287"/>
      <c r="L36" s="364"/>
      <c r="M36" s="287"/>
      <c r="N36" s="342"/>
      <c r="P36" s="342"/>
      <c r="R36" s="322"/>
    </row>
    <row r="37" spans="2:20" ht="15" customHeight="1" thickBot="1">
      <c r="B37" s="372" t="s">
        <v>107</v>
      </c>
      <c r="C37" s="373" t="s">
        <v>304</v>
      </c>
      <c r="D37" s="374">
        <f>+E13</f>
        <v>583787641</v>
      </c>
      <c r="E37" s="322"/>
      <c r="F37" s="322"/>
      <c r="H37" s="303" t="s">
        <v>36</v>
      </c>
      <c r="J37" s="304"/>
      <c r="K37" s="287"/>
      <c r="L37" s="304"/>
      <c r="M37" s="287"/>
      <c r="N37" s="289"/>
      <c r="P37" s="342"/>
      <c r="Q37" s="348"/>
      <c r="R37" s="348" t="s">
        <v>5</v>
      </c>
      <c r="T37" s="348"/>
    </row>
    <row r="38" spans="2:20" ht="15" customHeight="1">
      <c r="B38" s="372" t="s">
        <v>4</v>
      </c>
      <c r="C38" s="373" t="s">
        <v>143</v>
      </c>
      <c r="D38" s="375">
        <f>+[1]cálculos!$D$38</f>
        <v>1743023892</v>
      </c>
      <c r="E38" s="322"/>
      <c r="F38" s="322"/>
      <c r="H38" s="72" t="s">
        <v>37</v>
      </c>
      <c r="J38" s="304"/>
      <c r="K38" s="287"/>
      <c r="L38" s="304"/>
      <c r="M38" s="287"/>
      <c r="N38" s="289"/>
      <c r="O38" s="376"/>
      <c r="P38" s="74"/>
      <c r="R38" s="322"/>
    </row>
    <row r="39" spans="2:20" ht="15" customHeight="1" thickBot="1">
      <c r="B39" s="377" t="s">
        <v>4</v>
      </c>
      <c r="C39" s="378" t="s">
        <v>304</v>
      </c>
      <c r="D39" s="379">
        <f>+E8</f>
        <v>1819287669</v>
      </c>
      <c r="H39" s="76" t="s">
        <v>38</v>
      </c>
      <c r="I39" s="74" t="s">
        <v>12</v>
      </c>
      <c r="J39" s="312">
        <f>+C68</f>
        <v>57647853</v>
      </c>
      <c r="K39" s="330">
        <f>ROUND(J39/J40,4)*100</f>
        <v>9.9</v>
      </c>
      <c r="L39" s="312">
        <f>+E68</f>
        <v>60214211</v>
      </c>
      <c r="M39" s="330">
        <f>ROUND(L39/L40,4)*100</f>
        <v>10.35</v>
      </c>
      <c r="N39" s="331"/>
      <c r="O39" s="315">
        <f>ROUND((K39/M39)-1,4)</f>
        <v>-4.3499999999999997E-2</v>
      </c>
      <c r="P39" s="316">
        <f>ROUND((J39/L39)-1,3)</f>
        <v>-4.2999999999999997E-2</v>
      </c>
      <c r="Q39" s="304">
        <f>+J39-L39</f>
        <v>-2566358</v>
      </c>
      <c r="R39" s="315"/>
    </row>
    <row r="40" spans="2:20" ht="15" customHeight="1" thickBot="1">
      <c r="H40" s="74" t="s">
        <v>108</v>
      </c>
      <c r="I40" s="74" t="s">
        <v>5</v>
      </c>
      <c r="J40" s="304">
        <f>ROUND((D37+D13)/2,0)</f>
        <v>582349863</v>
      </c>
      <c r="K40" s="287"/>
      <c r="L40" s="304">
        <f>ROUND((D35+D36)/2,0)</f>
        <v>581749771</v>
      </c>
      <c r="M40" s="287"/>
      <c r="N40" s="289"/>
      <c r="O40" s="315"/>
      <c r="P40" s="316">
        <f>ROUND((J40/L40)-1,3)</f>
        <v>1E-3</v>
      </c>
      <c r="Q40" s="304">
        <f>+J40-L40</f>
        <v>600092</v>
      </c>
      <c r="R40" s="322"/>
    </row>
    <row r="41" spans="2:20" ht="15" customHeight="1">
      <c r="B41" s="380" t="s">
        <v>61</v>
      </c>
      <c r="C41" s="293" t="s">
        <v>366</v>
      </c>
      <c r="D41" s="294" t="s">
        <v>316</v>
      </c>
      <c r="H41" s="72" t="s">
        <v>39</v>
      </c>
      <c r="J41" s="304"/>
      <c r="K41" s="287"/>
      <c r="L41" s="304"/>
      <c r="M41" s="287"/>
      <c r="N41" s="289"/>
      <c r="O41" s="376"/>
      <c r="P41" s="381"/>
      <c r="Q41" s="315"/>
      <c r="R41" s="322"/>
    </row>
    <row r="42" spans="2:20" ht="15" customHeight="1">
      <c r="B42" s="306" t="s">
        <v>313</v>
      </c>
      <c r="C42" s="382"/>
      <c r="D42" s="383">
        <v>37.909768999999997</v>
      </c>
      <c r="H42" s="76" t="s">
        <v>38</v>
      </c>
      <c r="I42" s="74" t="s">
        <v>12</v>
      </c>
      <c r="J42" s="345">
        <f>+J39</f>
        <v>57647853</v>
      </c>
      <c r="K42" s="330">
        <f>ROUND(J42/J43,4)*100</f>
        <v>3.1399999999999997</v>
      </c>
      <c r="L42" s="345">
        <f>+L39</f>
        <v>60214211</v>
      </c>
      <c r="M42" s="330">
        <f>ROUND(L42/L43,4)*100</f>
        <v>3.38</v>
      </c>
      <c r="N42" s="331"/>
      <c r="O42" s="315">
        <f>ROUND((K42/M42)-1,4)</f>
        <v>-7.0999999999999994E-2</v>
      </c>
      <c r="P42" s="316">
        <f>ROUND((J42/L42)-1,3)</f>
        <v>-4.2999999999999997E-2</v>
      </c>
      <c r="Q42" s="304">
        <f>+J42-L42</f>
        <v>-2566358</v>
      </c>
    </row>
    <row r="43" spans="2:20" ht="15" customHeight="1">
      <c r="B43" s="306" t="s">
        <v>314</v>
      </c>
      <c r="C43" s="301"/>
      <c r="D43" s="302">
        <v>17.764399999999998</v>
      </c>
      <c r="H43" s="74" t="s">
        <v>40</v>
      </c>
      <c r="I43" s="74" t="s">
        <v>5</v>
      </c>
      <c r="J43" s="384">
        <f>ROUND((+D8+D39)/2,0)</f>
        <v>1835021726</v>
      </c>
      <c r="K43" s="287"/>
      <c r="L43" s="384">
        <f>ROUND((E8+D38)/2,0)</f>
        <v>1781155781</v>
      </c>
      <c r="M43" s="287"/>
      <c r="N43" s="385"/>
      <c r="O43" s="315"/>
      <c r="P43" s="316">
        <f>ROUND((J43/L43)-1,3)</f>
        <v>0.03</v>
      </c>
      <c r="Q43" s="304">
        <f>+J43-L43</f>
        <v>53865945</v>
      </c>
    </row>
    <row r="44" spans="2:20" ht="15" customHeight="1">
      <c r="B44" s="306" t="s">
        <v>315</v>
      </c>
      <c r="C44" s="382">
        <v>42.214899000000003</v>
      </c>
      <c r="D44" s="383"/>
      <c r="H44" s="72" t="s">
        <v>41</v>
      </c>
      <c r="J44" s="304"/>
      <c r="K44" s="287"/>
      <c r="L44" s="304"/>
      <c r="M44" s="287"/>
      <c r="N44" s="289"/>
      <c r="P44" s="386"/>
    </row>
    <row r="45" spans="2:20" ht="15" customHeight="1">
      <c r="B45" s="306" t="s">
        <v>343</v>
      </c>
      <c r="C45" s="301">
        <v>18.5379</v>
      </c>
      <c r="D45" s="302"/>
      <c r="H45" s="76" t="s">
        <v>42</v>
      </c>
      <c r="I45" s="74" t="s">
        <v>12</v>
      </c>
      <c r="J45" s="312">
        <f>+J42*1000</f>
        <v>57647853000</v>
      </c>
      <c r="K45" s="313">
        <f>ROUND(J45/J46,2)</f>
        <v>57.65</v>
      </c>
      <c r="L45" s="312">
        <f>+L39*1000</f>
        <v>60214211000</v>
      </c>
      <c r="M45" s="313">
        <f>ROUND(L45/L46,2)</f>
        <v>60.21</v>
      </c>
      <c r="N45" s="387"/>
      <c r="O45" s="315">
        <f>ROUND((K45/M45)-1,4)</f>
        <v>-4.2500000000000003E-2</v>
      </c>
      <c r="P45" s="316">
        <f>ROUND((J45/L45)-1,3)</f>
        <v>-4.2999999999999997E-2</v>
      </c>
    </row>
    <row r="46" spans="2:20" ht="15" customHeight="1" thickBot="1">
      <c r="B46" s="388"/>
      <c r="C46" s="389">
        <f>SUM(C42:C45)</f>
        <v>60.752799000000003</v>
      </c>
      <c r="D46" s="390">
        <f>SUM(D42:D45)</f>
        <v>55.674168999999992</v>
      </c>
      <c r="E46" s="391"/>
      <c r="H46" s="74" t="s">
        <v>43</v>
      </c>
      <c r="J46" s="493">
        <v>1000000000</v>
      </c>
      <c r="K46" s="287"/>
      <c r="L46" s="493">
        <v>1000000000</v>
      </c>
      <c r="M46" s="287"/>
      <c r="N46" s="289"/>
      <c r="P46" s="316">
        <f>ROUND((J46/L46)-1,3)</f>
        <v>0</v>
      </c>
    </row>
    <row r="47" spans="2:20" ht="15" customHeight="1">
      <c r="E47" s="392"/>
      <c r="H47" s="72" t="s">
        <v>44</v>
      </c>
      <c r="J47" s="304"/>
      <c r="K47" s="287"/>
      <c r="L47" s="393" t="s">
        <v>5</v>
      </c>
      <c r="M47" s="287"/>
      <c r="N47" s="289"/>
      <c r="O47" s="376"/>
    </row>
    <row r="48" spans="2:20" ht="15" customHeight="1" thickBot="1">
      <c r="C48" s="392"/>
      <c r="D48" s="392"/>
      <c r="E48" s="392"/>
      <c r="H48" s="72"/>
      <c r="J48" s="304"/>
      <c r="K48" s="287"/>
      <c r="L48" s="393"/>
      <c r="M48" s="287"/>
      <c r="N48" s="289"/>
      <c r="O48" s="376"/>
    </row>
    <row r="49" spans="2:16" ht="15" customHeight="1">
      <c r="B49" s="291" t="s">
        <v>345</v>
      </c>
      <c r="C49" s="399" t="str">
        <f>+D16</f>
        <v>Diciembre 2013</v>
      </c>
      <c r="D49" s="399" t="str">
        <f>+E16</f>
        <v>Diciembre 2012</v>
      </c>
      <c r="E49" s="400" t="str">
        <f>+F16</f>
        <v>Diciembre 2012</v>
      </c>
      <c r="H49" s="76" t="s">
        <v>45</v>
      </c>
      <c r="I49" s="74" t="s">
        <v>12</v>
      </c>
      <c r="J49" s="394">
        <f>+C46</f>
        <v>60.752799000000003</v>
      </c>
      <c r="K49" s="330">
        <f>ROUND(J49/J50,4)*100</f>
        <v>6.81</v>
      </c>
      <c r="L49" s="395">
        <f>+D46</f>
        <v>55.674168999999992</v>
      </c>
      <c r="M49" s="330">
        <f>ROUND(L49/L50,4)*100</f>
        <v>5.7700000000000005</v>
      </c>
      <c r="N49" s="367"/>
      <c r="O49" s="315">
        <f>ROUND((K49/M49)-1,4)</f>
        <v>0.1802</v>
      </c>
      <c r="P49" s="316">
        <f>ROUND((J49/L49)-1,3)</f>
        <v>9.0999999999999998E-2</v>
      </c>
    </row>
    <row r="50" spans="2:16" ht="15" customHeight="1">
      <c r="B50" s="306" t="s">
        <v>125</v>
      </c>
      <c r="C50" s="401">
        <f>+Resultado!D7</f>
        <v>402791320</v>
      </c>
      <c r="D50" s="401">
        <f>+Resultado!E7</f>
        <v>383027125</v>
      </c>
      <c r="E50" s="402">
        <f>+D50</f>
        <v>383027125</v>
      </c>
      <c r="F50" s="403">
        <f>+D50-E50</f>
        <v>0</v>
      </c>
      <c r="H50" s="74" t="s">
        <v>46</v>
      </c>
      <c r="J50" s="347">
        <v>892.25</v>
      </c>
      <c r="K50" s="347" t="s">
        <v>5</v>
      </c>
      <c r="L50" s="347">
        <v>964.84</v>
      </c>
      <c r="M50" s="347" t="s">
        <v>5</v>
      </c>
      <c r="N50" s="396"/>
      <c r="O50" s="315"/>
      <c r="P50" s="316">
        <f>ROUND((J50/L50)-1,3)</f>
        <v>-7.4999999999999997E-2</v>
      </c>
    </row>
    <row r="51" spans="2:16" ht="15" customHeight="1">
      <c r="B51" s="306" t="s">
        <v>126</v>
      </c>
      <c r="C51" s="401">
        <f>+Resultado!D8</f>
        <v>-27416534</v>
      </c>
      <c r="D51" s="401">
        <f>+Resultado!E8</f>
        <v>-29164206</v>
      </c>
      <c r="E51" s="402">
        <f t="shared" ref="E51:E66" si="1">+D51</f>
        <v>-29164206</v>
      </c>
      <c r="F51" s="403">
        <f t="shared" ref="F51:F68" si="2">+D51-E51</f>
        <v>0</v>
      </c>
      <c r="L51" s="74"/>
      <c r="M51" s="74"/>
      <c r="N51" s="74"/>
      <c r="P51" s="386"/>
    </row>
    <row r="52" spans="2:16" ht="15" customHeight="1">
      <c r="B52" s="306" t="s">
        <v>109</v>
      </c>
      <c r="C52" s="401">
        <f>+Resultado!D9</f>
        <v>-40811406</v>
      </c>
      <c r="D52" s="401">
        <f>+Resultado!E9</f>
        <v>-38488071</v>
      </c>
      <c r="E52" s="402">
        <f t="shared" si="1"/>
        <v>-38488071</v>
      </c>
      <c r="F52" s="403">
        <f t="shared" si="2"/>
        <v>0</v>
      </c>
      <c r="J52" s="392"/>
      <c r="L52" s="74"/>
      <c r="M52" s="397"/>
      <c r="N52" s="74"/>
    </row>
    <row r="53" spans="2:16" ht="15" customHeight="1">
      <c r="B53" s="306" t="s">
        <v>110</v>
      </c>
      <c r="C53" s="401">
        <f>+Resultado!D10</f>
        <v>-64721070</v>
      </c>
      <c r="D53" s="401">
        <f>+Resultado!E10</f>
        <v>-55225495</v>
      </c>
      <c r="E53" s="402">
        <f t="shared" si="1"/>
        <v>-55225495</v>
      </c>
      <c r="F53" s="403">
        <f t="shared" si="2"/>
        <v>0</v>
      </c>
      <c r="J53" s="392"/>
      <c r="L53" s="74"/>
      <c r="M53" s="74"/>
      <c r="N53" s="74"/>
    </row>
    <row r="54" spans="2:16" ht="15" customHeight="1">
      <c r="B54" s="306" t="s">
        <v>127</v>
      </c>
      <c r="C54" s="401">
        <f>+Resultado!D11</f>
        <v>0</v>
      </c>
      <c r="D54" s="401">
        <f>+Resultado!E11</f>
        <v>0</v>
      </c>
      <c r="E54" s="402">
        <f t="shared" si="1"/>
        <v>0</v>
      </c>
      <c r="F54" s="403">
        <f t="shared" si="2"/>
        <v>0</v>
      </c>
      <c r="L54" s="74"/>
      <c r="M54" s="74"/>
      <c r="N54" s="74"/>
      <c r="P54" s="398"/>
    </row>
    <row r="55" spans="2:16" ht="15" customHeight="1">
      <c r="B55" s="306" t="s">
        <v>128</v>
      </c>
      <c r="C55" s="401">
        <f>+Resultado!D12</f>
        <v>-88149562</v>
      </c>
      <c r="D55" s="401">
        <f>+Resultado!E12</f>
        <v>-73857844</v>
      </c>
      <c r="E55" s="402">
        <f t="shared" si="1"/>
        <v>-73857844</v>
      </c>
      <c r="F55" s="403">
        <f t="shared" si="2"/>
        <v>0</v>
      </c>
      <c r="L55" s="74"/>
      <c r="M55" s="74"/>
      <c r="N55" s="74"/>
    </row>
    <row r="56" spans="2:16" ht="15" customHeight="1">
      <c r="B56" s="300" t="s">
        <v>87</v>
      </c>
      <c r="C56" s="414">
        <f>SUM(C50:C55)</f>
        <v>181692748</v>
      </c>
      <c r="D56" s="414">
        <f>SUM(D50:D55)</f>
        <v>186291509</v>
      </c>
      <c r="E56" s="402">
        <f t="shared" si="1"/>
        <v>186291509</v>
      </c>
      <c r="F56" s="403">
        <f t="shared" si="2"/>
        <v>0</v>
      </c>
      <c r="H56" s="404"/>
      <c r="I56" s="405"/>
      <c r="J56" s="406"/>
      <c r="K56" s="407"/>
      <c r="L56" s="406"/>
      <c r="M56" s="407"/>
      <c r="N56" s="289"/>
      <c r="O56" s="310"/>
      <c r="P56" s="408"/>
    </row>
    <row r="57" spans="2:16" ht="15" customHeight="1">
      <c r="B57" s="306" t="s">
        <v>88</v>
      </c>
      <c r="C57" s="401">
        <f>+Resultado!D14</f>
        <v>7056285</v>
      </c>
      <c r="D57" s="401">
        <f>+Resultado!E14</f>
        <v>8388892</v>
      </c>
      <c r="E57" s="402">
        <f t="shared" si="1"/>
        <v>8388892</v>
      </c>
      <c r="F57" s="403">
        <f t="shared" si="2"/>
        <v>0</v>
      </c>
      <c r="H57" s="404"/>
      <c r="I57" s="405"/>
      <c r="J57" s="406"/>
      <c r="K57" s="407"/>
      <c r="L57" s="406"/>
      <c r="M57" s="407"/>
      <c r="N57" s="289"/>
      <c r="O57" s="333"/>
      <c r="P57" s="288"/>
    </row>
    <row r="58" spans="2:16" ht="15" customHeight="1">
      <c r="B58" s="306" t="s">
        <v>89</v>
      </c>
      <c r="C58" s="401">
        <f>+Resultado!D15</f>
        <v>-28886895</v>
      </c>
      <c r="D58" s="401">
        <f>+Resultado!E15</f>
        <v>-24172052</v>
      </c>
      <c r="E58" s="402">
        <f t="shared" si="1"/>
        <v>-24172052</v>
      </c>
      <c r="F58" s="403">
        <f t="shared" si="2"/>
        <v>0</v>
      </c>
      <c r="H58" s="405"/>
      <c r="I58" s="405"/>
      <c r="J58" s="406"/>
      <c r="K58" s="409"/>
      <c r="L58" s="406"/>
      <c r="M58" s="409"/>
      <c r="N58" s="367"/>
      <c r="O58" s="410"/>
      <c r="P58" s="368"/>
    </row>
    <row r="59" spans="2:16" ht="15" customHeight="1">
      <c r="B59" s="306" t="s">
        <v>90</v>
      </c>
      <c r="C59" s="401">
        <f>+Resultado!D16</f>
        <v>-1529</v>
      </c>
      <c r="D59" s="401">
        <f>+Resultado!E16</f>
        <v>-26734</v>
      </c>
      <c r="E59" s="402">
        <f t="shared" si="1"/>
        <v>-26734</v>
      </c>
      <c r="F59" s="403">
        <f t="shared" si="2"/>
        <v>0</v>
      </c>
      <c r="H59" s="405"/>
      <c r="I59" s="405"/>
      <c r="J59" s="407"/>
      <c r="K59" s="411"/>
      <c r="L59" s="407"/>
      <c r="M59" s="411"/>
      <c r="N59" s="289"/>
      <c r="O59" s="333"/>
      <c r="P59" s="368"/>
    </row>
    <row r="60" spans="2:16" ht="15" customHeight="1">
      <c r="B60" s="306" t="s">
        <v>91</v>
      </c>
      <c r="C60" s="401">
        <f>+Resultado!D17</f>
        <v>-12954456</v>
      </c>
      <c r="D60" s="401">
        <f>+Resultado!E17</f>
        <v>-13885549</v>
      </c>
      <c r="E60" s="402">
        <f t="shared" si="1"/>
        <v>-13885549</v>
      </c>
      <c r="F60" s="403">
        <f t="shared" si="2"/>
        <v>0</v>
      </c>
      <c r="H60" s="404"/>
      <c r="I60" s="405"/>
      <c r="J60" s="406"/>
      <c r="K60" s="407"/>
      <c r="L60" s="406"/>
      <c r="M60" s="407"/>
      <c r="N60" s="289"/>
      <c r="O60" s="333"/>
      <c r="P60" s="288"/>
    </row>
    <row r="61" spans="2:16" ht="15" customHeight="1">
      <c r="B61" s="300" t="s">
        <v>92</v>
      </c>
      <c r="C61" s="414">
        <f>SUM(C57:C60)</f>
        <v>-34786595</v>
      </c>
      <c r="D61" s="414">
        <f>SUM(D57:D60)</f>
        <v>-29695443</v>
      </c>
      <c r="E61" s="402">
        <f t="shared" si="1"/>
        <v>-29695443</v>
      </c>
      <c r="F61" s="403">
        <f t="shared" si="2"/>
        <v>0</v>
      </c>
      <c r="H61" s="405"/>
      <c r="I61" s="412"/>
      <c r="J61" s="407"/>
      <c r="K61" s="409"/>
      <c r="L61" s="407"/>
      <c r="M61" s="409"/>
      <c r="N61" s="413"/>
      <c r="O61" s="410"/>
      <c r="P61" s="368"/>
    </row>
    <row r="62" spans="2:16" ht="15" customHeight="1">
      <c r="B62" s="306" t="s">
        <v>102</v>
      </c>
      <c r="C62" s="401">
        <f>+Resultado!D13</f>
        <v>1326676</v>
      </c>
      <c r="D62" s="401">
        <f>+Resultado!E13</f>
        <v>628694</v>
      </c>
      <c r="E62" s="402">
        <f t="shared" si="1"/>
        <v>628694</v>
      </c>
      <c r="F62" s="403">
        <f t="shared" si="2"/>
        <v>0</v>
      </c>
      <c r="H62" s="405"/>
      <c r="I62" s="405"/>
      <c r="J62" s="406"/>
      <c r="K62" s="411"/>
      <c r="L62" s="406"/>
      <c r="M62" s="411"/>
      <c r="N62" s="342"/>
      <c r="O62" s="333"/>
      <c r="P62" s="368"/>
    </row>
    <row r="63" spans="2:16" ht="15" customHeight="1">
      <c r="B63" s="306" t="s">
        <v>93</v>
      </c>
      <c r="C63" s="401"/>
      <c r="D63" s="401"/>
      <c r="E63" s="402">
        <f t="shared" si="1"/>
        <v>0</v>
      </c>
      <c r="F63" s="403">
        <f t="shared" si="2"/>
        <v>0</v>
      </c>
      <c r="H63" s="415"/>
      <c r="I63" s="284"/>
      <c r="J63" s="416"/>
      <c r="K63" s="342"/>
      <c r="L63" s="416"/>
      <c r="M63" s="342"/>
      <c r="N63" s="289"/>
      <c r="O63" s="333"/>
      <c r="P63" s="288"/>
    </row>
    <row r="64" spans="2:16" ht="15" customHeight="1">
      <c r="B64" s="300" t="s">
        <v>94</v>
      </c>
      <c r="C64" s="414">
        <f>+C56+C61+C62+C63</f>
        <v>148232829</v>
      </c>
      <c r="D64" s="414">
        <f>+D56+D61+D62+D63</f>
        <v>157224760</v>
      </c>
      <c r="E64" s="402">
        <f t="shared" si="1"/>
        <v>157224760</v>
      </c>
      <c r="F64" s="403">
        <f t="shared" si="2"/>
        <v>0</v>
      </c>
      <c r="L64" s="417"/>
      <c r="N64" s="289"/>
    </row>
    <row r="65" spans="2:14" ht="15" customHeight="1">
      <c r="B65" s="306" t="s">
        <v>95</v>
      </c>
      <c r="C65" s="401">
        <f>+Resultado!D20</f>
        <v>-29333029</v>
      </c>
      <c r="D65" s="401">
        <f>+Resultado!E20</f>
        <v>-35769001</v>
      </c>
      <c r="E65" s="402">
        <f t="shared" si="1"/>
        <v>-35769001</v>
      </c>
      <c r="F65" s="403">
        <f t="shared" si="2"/>
        <v>0</v>
      </c>
      <c r="K65" s="418"/>
      <c r="M65" s="418"/>
    </row>
    <row r="66" spans="2:14" ht="15" customHeight="1">
      <c r="B66" s="306" t="s">
        <v>96</v>
      </c>
      <c r="C66" s="401">
        <f>+Resultado!D26</f>
        <v>61251947</v>
      </c>
      <c r="D66" s="401">
        <f>+Resultado!E26</f>
        <v>61241548</v>
      </c>
      <c r="E66" s="402">
        <f t="shared" si="1"/>
        <v>61241548</v>
      </c>
      <c r="F66" s="403">
        <f t="shared" si="2"/>
        <v>0</v>
      </c>
    </row>
    <row r="67" spans="2:14" ht="15" customHeight="1">
      <c r="B67" s="419" t="s">
        <v>103</v>
      </c>
      <c r="C67" s="420">
        <f>+C64+C65</f>
        <v>118899800</v>
      </c>
      <c r="D67" s="420">
        <f>+D64+D65</f>
        <v>121455759</v>
      </c>
      <c r="E67" s="420">
        <f>+E64+E65</f>
        <v>121455759</v>
      </c>
      <c r="F67" s="403">
        <f t="shared" si="2"/>
        <v>0</v>
      </c>
    </row>
    <row r="68" spans="2:14" ht="15" customHeight="1" thickBot="1">
      <c r="B68" s="421" t="s">
        <v>97</v>
      </c>
      <c r="C68" s="422">
        <f>+C64+C65-C66</f>
        <v>57647853</v>
      </c>
      <c r="D68" s="422">
        <f>+D64+D65-D66</f>
        <v>60214211</v>
      </c>
      <c r="E68" s="422">
        <f>+E64+E65-E66</f>
        <v>60214211</v>
      </c>
      <c r="F68" s="403">
        <f t="shared" si="2"/>
        <v>0</v>
      </c>
    </row>
    <row r="70" spans="2:14" ht="15" customHeight="1">
      <c r="D70" s="403"/>
    </row>
    <row r="71" spans="2:14" ht="15" customHeight="1">
      <c r="D71" s="403"/>
    </row>
    <row r="74" spans="2:14" ht="15" customHeight="1">
      <c r="N74" s="74"/>
    </row>
    <row r="75" spans="2:14" ht="15" customHeight="1">
      <c r="C75" s="403"/>
      <c r="L75" s="74"/>
      <c r="M75" s="74"/>
      <c r="N75" s="74"/>
    </row>
    <row r="76" spans="2:14" ht="15" customHeight="1">
      <c r="L76" s="74"/>
      <c r="M76" s="74"/>
      <c r="N76" s="74"/>
    </row>
    <row r="77" spans="2:14" ht="15" customHeight="1">
      <c r="L77" s="74"/>
      <c r="M77" s="74"/>
      <c r="N77" s="74"/>
    </row>
    <row r="78" spans="2:14" ht="15" customHeight="1">
      <c r="L78" s="74"/>
      <c r="M78" s="74"/>
      <c r="N78" s="74"/>
    </row>
    <row r="79" spans="2:14" ht="15" customHeight="1">
      <c r="L79" s="74"/>
      <c r="M79" s="74"/>
      <c r="N79" s="74"/>
    </row>
    <row r="80" spans="2:14" ht="15" customHeight="1">
      <c r="L80" s="74"/>
      <c r="M80" s="74"/>
      <c r="N80" s="74"/>
    </row>
    <row r="81" spans="12:14" ht="15" customHeight="1">
      <c r="L81" s="74"/>
      <c r="M81" s="74"/>
      <c r="N81" s="74"/>
    </row>
    <row r="82" spans="12:14" ht="15" customHeight="1">
      <c r="L82" s="74"/>
      <c r="M82" s="74"/>
      <c r="N82" s="74"/>
    </row>
    <row r="83" spans="12:14" ht="15" customHeight="1">
      <c r="L83" s="74"/>
      <c r="M83" s="74"/>
      <c r="N83" s="74"/>
    </row>
    <row r="84" spans="12:14" ht="15" customHeight="1">
      <c r="L84" s="74"/>
      <c r="M84" s="74"/>
      <c r="N84" s="74"/>
    </row>
    <row r="85" spans="12:14" ht="15" customHeight="1">
      <c r="L85" s="74"/>
      <c r="M85" s="74"/>
      <c r="N85" s="74"/>
    </row>
    <row r="86" spans="12:14" ht="15" customHeight="1">
      <c r="L86" s="74"/>
      <c r="M86" s="74"/>
      <c r="N86" s="74"/>
    </row>
    <row r="87" spans="12:14" ht="15" customHeight="1">
      <c r="L87" s="74"/>
      <c r="M87" s="74"/>
      <c r="N87" s="74"/>
    </row>
    <row r="88" spans="12:14" ht="15" customHeight="1">
      <c r="L88" s="74"/>
      <c r="M88" s="74"/>
      <c r="N88" s="74"/>
    </row>
    <row r="89" spans="12:14" ht="15" customHeight="1">
      <c r="L89" s="74"/>
      <c r="M89" s="74"/>
      <c r="N89" s="74"/>
    </row>
    <row r="90" spans="12:14" ht="15" customHeight="1">
      <c r="L90" s="74"/>
      <c r="M90" s="74"/>
      <c r="N90" s="74"/>
    </row>
    <row r="91" spans="12:14" ht="15" customHeight="1">
      <c r="L91" s="74"/>
      <c r="M91" s="74"/>
      <c r="N91" s="74"/>
    </row>
    <row r="92" spans="12:14" ht="15" customHeight="1">
      <c r="L92" s="74"/>
      <c r="M92" s="74"/>
      <c r="N92" s="74"/>
    </row>
    <row r="93" spans="12:14" ht="15" customHeight="1">
      <c r="L93" s="74"/>
      <c r="M93" s="74"/>
      <c r="N93" s="74"/>
    </row>
    <row r="94" spans="12:14" ht="15" customHeight="1">
      <c r="L94" s="74"/>
      <c r="M94" s="74"/>
      <c r="N94" s="74"/>
    </row>
    <row r="95" spans="12:14" ht="15" customHeight="1">
      <c r="L95" s="74"/>
      <c r="M95" s="74"/>
      <c r="N95" s="74"/>
    </row>
    <row r="96" spans="12:14" ht="15" customHeight="1">
      <c r="L96" s="74"/>
      <c r="M96" s="74"/>
      <c r="N96" s="74"/>
    </row>
    <row r="97" spans="10:14" ht="15" customHeight="1">
      <c r="L97" s="74"/>
      <c r="M97" s="74"/>
      <c r="N97" s="74"/>
    </row>
    <row r="98" spans="10:14" ht="15" customHeight="1">
      <c r="L98" s="74"/>
      <c r="M98" s="74"/>
      <c r="N98" s="74"/>
    </row>
    <row r="99" spans="10:14" ht="15" customHeight="1">
      <c r="J99" s="423"/>
      <c r="K99" s="424"/>
      <c r="M99" s="424"/>
      <c r="N99" s="423"/>
    </row>
    <row r="100" spans="10:14" ht="15" customHeight="1">
      <c r="J100" s="423"/>
      <c r="K100" s="424"/>
      <c r="M100" s="424"/>
      <c r="N100" s="423"/>
    </row>
    <row r="101" spans="10:14" ht="15" customHeight="1">
      <c r="J101" s="423"/>
      <c r="K101" s="424"/>
      <c r="M101" s="424"/>
      <c r="N101" s="423"/>
    </row>
    <row r="102" spans="10:14" ht="15" customHeight="1">
      <c r="J102" s="423"/>
      <c r="K102" s="424"/>
      <c r="M102" s="424"/>
      <c r="N102" s="423"/>
    </row>
    <row r="103" spans="10:14" ht="15" customHeight="1">
      <c r="J103" s="423"/>
      <c r="K103" s="424"/>
      <c r="M103" s="424"/>
      <c r="N103" s="423"/>
    </row>
    <row r="104" spans="10:14" ht="15" customHeight="1">
      <c r="J104" s="423"/>
      <c r="K104" s="424"/>
      <c r="M104" s="424"/>
      <c r="N104" s="423"/>
    </row>
    <row r="105" spans="10:14" ht="15" customHeight="1">
      <c r="J105" s="423"/>
      <c r="K105" s="424"/>
      <c r="L105" s="424"/>
      <c r="M105" s="424"/>
      <c r="N105" s="423"/>
    </row>
    <row r="106" spans="10:14" ht="15" customHeight="1">
      <c r="J106" s="423"/>
      <c r="K106" s="424"/>
      <c r="L106" s="424"/>
      <c r="M106" s="424"/>
      <c r="N106" s="423"/>
    </row>
    <row r="107" spans="10:14" ht="15" customHeight="1">
      <c r="J107" s="423"/>
      <c r="K107" s="424"/>
      <c r="L107" s="424"/>
      <c r="M107" s="424"/>
    </row>
    <row r="108" spans="10:14" ht="15" customHeight="1">
      <c r="J108" s="423"/>
      <c r="K108" s="424"/>
      <c r="L108" s="424"/>
      <c r="M108" s="424"/>
    </row>
    <row r="109" spans="10:14" ht="15" customHeight="1">
      <c r="J109" s="423"/>
      <c r="K109" s="424"/>
      <c r="L109" s="424"/>
      <c r="M109" s="424"/>
    </row>
    <row r="110" spans="10:14" ht="15" customHeight="1">
      <c r="J110" s="423"/>
      <c r="K110" s="424"/>
      <c r="L110" s="424"/>
      <c r="M110" s="424"/>
    </row>
    <row r="111" spans="10:14" ht="15" customHeight="1">
      <c r="J111" s="423"/>
      <c r="K111" s="424"/>
      <c r="L111" s="424"/>
      <c r="M111" s="424"/>
    </row>
    <row r="112" spans="10:14" ht="15" customHeight="1">
      <c r="J112" s="423"/>
      <c r="K112" s="424"/>
      <c r="L112" s="424"/>
      <c r="M112" s="424"/>
    </row>
    <row r="113" spans="10:13" ht="15" customHeight="1">
      <c r="J113" s="423"/>
      <c r="K113" s="424"/>
      <c r="L113" s="424"/>
      <c r="M113" s="424"/>
    </row>
    <row r="114" spans="10:13" ht="15" customHeight="1">
      <c r="J114" s="423"/>
      <c r="K114" s="424"/>
      <c r="L114" s="424"/>
      <c r="M114" s="424"/>
    </row>
    <row r="115" spans="10:13" ht="15" customHeight="1">
      <c r="J115" s="423"/>
      <c r="K115" s="424"/>
      <c r="L115" s="424"/>
      <c r="M115" s="424"/>
    </row>
    <row r="116" spans="10:13" ht="15" customHeight="1">
      <c r="J116" s="423"/>
      <c r="K116" s="424"/>
      <c r="L116" s="424"/>
      <c r="M116" s="424"/>
    </row>
    <row r="117" spans="10:13" ht="15" customHeight="1">
      <c r="J117" s="423"/>
      <c r="K117" s="424"/>
      <c r="L117" s="424"/>
      <c r="M117" s="424"/>
    </row>
    <row r="118" spans="10:13" ht="15" customHeight="1">
      <c r="J118" s="423"/>
      <c r="K118" s="424"/>
      <c r="L118" s="424"/>
      <c r="M118" s="424"/>
    </row>
    <row r="119" spans="10:13" ht="15" customHeight="1">
      <c r="J119" s="423"/>
      <c r="K119" s="424"/>
      <c r="L119" s="424"/>
      <c r="M119" s="424"/>
    </row>
    <row r="120" spans="10:13" ht="15" customHeight="1">
      <c r="J120" s="423"/>
      <c r="K120" s="424"/>
      <c r="L120" s="424"/>
      <c r="M120" s="424"/>
    </row>
    <row r="121" spans="10:13" ht="15" customHeight="1">
      <c r="J121" s="423"/>
      <c r="K121" s="424"/>
      <c r="M121" s="424"/>
    </row>
    <row r="122" spans="10:13" ht="15" customHeight="1">
      <c r="J122" s="423"/>
      <c r="K122" s="424"/>
      <c r="L122" s="424"/>
      <c r="M122" s="424"/>
    </row>
    <row r="123" spans="10:13" ht="15" customHeight="1">
      <c r="J123" s="423"/>
      <c r="K123" s="424"/>
      <c r="L123" s="424"/>
      <c r="M123" s="424"/>
    </row>
    <row r="124" spans="10:13" ht="15" customHeight="1">
      <c r="J124" s="423"/>
      <c r="K124" s="424"/>
      <c r="L124" s="424"/>
      <c r="M124" s="424"/>
    </row>
    <row r="125" spans="10:13" ht="15" customHeight="1">
      <c r="J125" s="423"/>
      <c r="K125" s="424"/>
      <c r="L125" s="424"/>
      <c r="M125" s="424"/>
    </row>
    <row r="126" spans="10:13" ht="15" customHeight="1">
      <c r="J126" s="423"/>
      <c r="K126" s="424"/>
      <c r="L126" s="424"/>
      <c r="M126" s="424"/>
    </row>
    <row r="127" spans="10:13" ht="15" customHeight="1">
      <c r="J127" s="423"/>
      <c r="K127" s="424"/>
      <c r="L127" s="424"/>
      <c r="M127" s="424"/>
    </row>
    <row r="128" spans="10:13" ht="15" customHeight="1">
      <c r="J128" s="423"/>
      <c r="K128" s="424"/>
      <c r="L128" s="424"/>
      <c r="M128" s="424"/>
    </row>
    <row r="129" spans="10:13" ht="15" customHeight="1">
      <c r="J129" s="423"/>
      <c r="K129" s="424"/>
      <c r="M129" s="424"/>
    </row>
    <row r="130" spans="10:13" ht="15" customHeight="1">
      <c r="J130" s="423"/>
      <c r="K130" s="424"/>
      <c r="M130" s="424"/>
    </row>
    <row r="131" spans="10:13" ht="15" customHeight="1">
      <c r="J131" s="423"/>
      <c r="K131" s="424"/>
      <c r="M131" s="424"/>
    </row>
    <row r="132" spans="10:13" ht="15" customHeight="1">
      <c r="J132" s="423"/>
      <c r="K132" s="424"/>
      <c r="M132" s="424"/>
    </row>
    <row r="133" spans="10:13" ht="15" customHeight="1">
      <c r="J133" s="423"/>
      <c r="K133" s="424"/>
      <c r="M133" s="424"/>
    </row>
    <row r="134" spans="10:13" ht="15" customHeight="1">
      <c r="J134" s="423"/>
      <c r="K134" s="424"/>
      <c r="M134" s="424"/>
    </row>
    <row r="135" spans="10:13" ht="15" customHeight="1">
      <c r="J135" s="423"/>
      <c r="K135" s="424"/>
      <c r="M135" s="424"/>
    </row>
    <row r="136" spans="10:13" ht="15" customHeight="1">
      <c r="J136" s="423"/>
      <c r="K136" s="424"/>
      <c r="M136" s="424"/>
    </row>
    <row r="137" spans="10:13" ht="15" customHeight="1">
      <c r="J137" s="423"/>
      <c r="K137" s="424"/>
      <c r="M137" s="424"/>
    </row>
    <row r="138" spans="10:13" ht="15" customHeight="1">
      <c r="J138" s="423"/>
      <c r="K138" s="424"/>
      <c r="M138" s="424"/>
    </row>
    <row r="139" spans="10:13" ht="15" customHeight="1">
      <c r="J139" s="423"/>
      <c r="K139" s="424"/>
      <c r="M139" s="424"/>
    </row>
    <row r="140" spans="10:13" ht="15" customHeight="1">
      <c r="J140" s="423"/>
      <c r="K140" s="424"/>
      <c r="M140" s="424"/>
    </row>
    <row r="141" spans="10:13" ht="15" customHeight="1">
      <c r="J141" s="423"/>
      <c r="K141" s="424"/>
      <c r="M141" s="424"/>
    </row>
    <row r="142" spans="10:13" ht="15" customHeight="1">
      <c r="J142" s="423"/>
      <c r="K142" s="424"/>
      <c r="M142" s="424"/>
    </row>
    <row r="143" spans="10:13" ht="15" customHeight="1">
      <c r="J143" s="423"/>
      <c r="K143" s="424"/>
      <c r="M143" s="424"/>
    </row>
    <row r="144" spans="10:13" ht="15" customHeight="1">
      <c r="J144" s="423"/>
      <c r="K144" s="424"/>
      <c r="M144" s="424"/>
    </row>
    <row r="145" spans="10:13" ht="15" customHeight="1">
      <c r="J145" s="423"/>
      <c r="K145" s="424"/>
      <c r="M145" s="424"/>
    </row>
    <row r="146" spans="10:13" ht="15" customHeight="1">
      <c r="J146" s="423"/>
      <c r="K146" s="424"/>
      <c r="M146" s="424"/>
    </row>
    <row r="147" spans="10:13" ht="15" customHeight="1">
      <c r="J147" s="315"/>
      <c r="K147" s="424"/>
      <c r="M147" s="424"/>
    </row>
    <row r="148" spans="10:13" ht="15" customHeight="1">
      <c r="J148" s="423"/>
      <c r="K148" s="424"/>
      <c r="M148" s="424"/>
    </row>
    <row r="149" spans="10:13" ht="15" customHeight="1">
      <c r="J149" s="423"/>
      <c r="K149" s="424"/>
      <c r="M149" s="424"/>
    </row>
    <row r="150" spans="10:13" ht="15" customHeight="1">
      <c r="J150" s="423"/>
      <c r="K150" s="424"/>
      <c r="M150" s="424"/>
    </row>
    <row r="151" spans="10:13" ht="15" customHeight="1">
      <c r="J151" s="423"/>
      <c r="K151" s="424"/>
      <c r="M151" s="424"/>
    </row>
    <row r="152" spans="10:13" ht="15" customHeight="1">
      <c r="J152" s="423"/>
      <c r="K152" s="424"/>
      <c r="L152" s="376"/>
      <c r="M152" s="424"/>
    </row>
    <row r="153" spans="10:13" ht="15" customHeight="1">
      <c r="J153" s="423"/>
      <c r="K153" s="424"/>
      <c r="L153" s="376"/>
      <c r="M153" s="424"/>
    </row>
    <row r="154" spans="10:13" ht="15" customHeight="1">
      <c r="J154" s="423"/>
      <c r="K154" s="424"/>
      <c r="L154" s="376"/>
      <c r="M154" s="424"/>
    </row>
    <row r="155" spans="10:13" ht="15" customHeight="1">
      <c r="J155" s="423"/>
      <c r="K155" s="424"/>
      <c r="L155" s="376"/>
      <c r="M155" s="424"/>
    </row>
    <row r="156" spans="10:13" ht="15" customHeight="1">
      <c r="J156" s="423"/>
      <c r="K156" s="424"/>
      <c r="L156" s="376"/>
      <c r="M156" s="424"/>
    </row>
    <row r="157" spans="10:13" ht="15" customHeight="1">
      <c r="J157" s="423"/>
      <c r="K157" s="424"/>
      <c r="L157" s="376"/>
      <c r="M157" s="424"/>
    </row>
    <row r="158" spans="10:13" ht="15" customHeight="1">
      <c r="J158" s="423"/>
      <c r="K158" s="424"/>
      <c r="L158" s="376"/>
      <c r="M158" s="424"/>
    </row>
    <row r="159" spans="10:13" ht="15" customHeight="1">
      <c r="J159" s="423"/>
      <c r="K159" s="424"/>
      <c r="L159" s="376"/>
      <c r="M159" s="424"/>
    </row>
    <row r="160" spans="10:13" ht="15" customHeight="1">
      <c r="L160" s="376"/>
    </row>
    <row r="161" spans="12:12" ht="15" customHeight="1">
      <c r="L161" s="376"/>
    </row>
    <row r="162" spans="12:12" ht="15" customHeight="1">
      <c r="L162" s="376"/>
    </row>
    <row r="163" spans="12:12" ht="15" customHeight="1">
      <c r="L163" s="376"/>
    </row>
    <row r="164" spans="12:12" ht="15" customHeight="1">
      <c r="L164" s="376"/>
    </row>
    <row r="183" spans="10:13" ht="15" customHeight="1">
      <c r="L183" s="425"/>
    </row>
    <row r="185" spans="10:13" ht="15" customHeight="1">
      <c r="J185" s="423"/>
      <c r="K185" s="424"/>
      <c r="L185" s="424"/>
      <c r="M185" s="423"/>
    </row>
    <row r="186" spans="10:13" ht="15" customHeight="1">
      <c r="J186" s="423"/>
      <c r="K186" s="424"/>
      <c r="L186" s="424"/>
      <c r="M186" s="423"/>
    </row>
    <row r="187" spans="10:13" ht="15" customHeight="1">
      <c r="J187" s="423"/>
      <c r="K187" s="424"/>
      <c r="L187" s="424"/>
      <c r="M187" s="423"/>
    </row>
    <row r="188" spans="10:13" ht="15" customHeight="1">
      <c r="J188" s="423"/>
      <c r="K188" s="424"/>
      <c r="L188" s="424"/>
      <c r="M188" s="423"/>
    </row>
    <row r="189" spans="10:13" ht="15" customHeight="1">
      <c r="J189" s="423"/>
      <c r="K189" s="424"/>
      <c r="L189" s="424"/>
      <c r="M189" s="423"/>
    </row>
    <row r="190" spans="10:13" ht="15" customHeight="1">
      <c r="J190" s="423"/>
      <c r="K190" s="424"/>
      <c r="L190" s="424"/>
      <c r="M190" s="423"/>
    </row>
    <row r="191" spans="10:13" ht="15" customHeight="1">
      <c r="J191" s="423"/>
      <c r="K191" s="424"/>
      <c r="L191" s="424"/>
      <c r="M191" s="423"/>
    </row>
    <row r="192" spans="10:13" ht="15" customHeight="1">
      <c r="J192" s="423"/>
      <c r="K192" s="424"/>
      <c r="L192" s="424"/>
      <c r="M192" s="423"/>
    </row>
    <row r="193" spans="10:13" ht="15" customHeight="1">
      <c r="J193" s="423"/>
      <c r="K193" s="424"/>
      <c r="L193" s="424"/>
      <c r="M193" s="423"/>
    </row>
    <row r="194" spans="10:13" ht="15" customHeight="1">
      <c r="J194" s="423"/>
      <c r="K194" s="424"/>
      <c r="L194" s="424"/>
      <c r="M194" s="423"/>
    </row>
    <row r="195" spans="10:13" ht="15" customHeight="1">
      <c r="J195" s="423"/>
      <c r="K195" s="424"/>
      <c r="M195" s="423"/>
    </row>
    <row r="196" spans="10:13" ht="15" customHeight="1">
      <c r="J196" s="423"/>
      <c r="K196" s="424"/>
      <c r="M196" s="423"/>
    </row>
    <row r="197" spans="10:13" ht="15" customHeight="1">
      <c r="J197" s="423"/>
      <c r="K197" s="424"/>
      <c r="M197" s="423"/>
    </row>
    <row r="198" spans="10:13" ht="15" customHeight="1">
      <c r="J198" s="423"/>
      <c r="K198" s="424"/>
      <c r="M198" s="423"/>
    </row>
    <row r="199" spans="10:13" ht="15" customHeight="1">
      <c r="J199" s="423"/>
      <c r="K199" s="424"/>
      <c r="M199" s="423"/>
    </row>
    <row r="200" spans="10:13" ht="15" customHeight="1">
      <c r="J200" s="423"/>
      <c r="K200" s="424"/>
      <c r="M200" s="423"/>
    </row>
    <row r="201" spans="10:13" ht="15" customHeight="1">
      <c r="J201" s="423"/>
      <c r="K201" s="424"/>
      <c r="M201" s="423"/>
    </row>
    <row r="202" spans="10:13" ht="15" customHeight="1">
      <c r="J202" s="423"/>
      <c r="K202" s="424"/>
      <c r="M202" s="423"/>
    </row>
    <row r="203" spans="10:13" ht="15" customHeight="1">
      <c r="J203" s="423"/>
      <c r="K203" s="424"/>
      <c r="M203" s="423"/>
    </row>
  </sheetData>
  <phoneticPr fontId="0" type="noConversion"/>
  <printOptions horizontalCentered="1" verticalCentered="1"/>
  <pageMargins left="0.75" right="0.75" top="0.39370078740157483" bottom="0.19685039370078741" header="0" footer="0"/>
  <pageSetup orientation="portrait" r:id="rId1"/>
  <headerFooter alignWithMargins="0">
    <oddFooter>&amp;R&amp;D  - 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A2:F76"/>
  <sheetViews>
    <sheetView showGridLines="0" topLeftCell="A34" zoomScale="120" zoomScaleNormal="120" workbookViewId="0">
      <selection activeCell="F41" sqref="F41"/>
    </sheetView>
  </sheetViews>
  <sheetFormatPr baseColWidth="10" defaultRowHeight="12.75"/>
  <cols>
    <col min="1" max="1" width="10.42578125" style="81" bestFit="1" customWidth="1"/>
    <col min="2" max="2" width="68.7109375" style="82" customWidth="1"/>
    <col min="3" max="3" width="7.7109375" style="82" customWidth="1"/>
    <col min="4" max="5" width="14.42578125" style="82" customWidth="1"/>
    <col min="6" max="16384" width="11.42578125" style="81"/>
  </cols>
  <sheetData>
    <row r="2" spans="1:6" ht="21.75" customHeight="1"/>
    <row r="3" spans="1:6" ht="13.5" thickBot="1"/>
    <row r="4" spans="1:6">
      <c r="A4" s="83"/>
      <c r="B4" s="609" t="s">
        <v>153</v>
      </c>
      <c r="C4" s="611" t="s">
        <v>154</v>
      </c>
      <c r="D4" s="203">
        <v>41639</v>
      </c>
      <c r="E4" s="203">
        <v>41274</v>
      </c>
    </row>
    <row r="5" spans="1:6" ht="13.5" thickBot="1">
      <c r="B5" s="610"/>
      <c r="C5" s="612"/>
      <c r="D5" s="204" t="s">
        <v>9</v>
      </c>
      <c r="E5" s="204" t="s">
        <v>9</v>
      </c>
      <c r="F5" s="81" t="s">
        <v>84</v>
      </c>
    </row>
    <row r="6" spans="1:6">
      <c r="B6" s="206"/>
      <c r="C6" s="208"/>
      <c r="D6" s="227"/>
      <c r="E6" s="227"/>
    </row>
    <row r="7" spans="1:6" ht="13.5" customHeight="1" thickBot="1">
      <c r="B7" s="206" t="s">
        <v>155</v>
      </c>
      <c r="C7" s="208"/>
      <c r="D7" s="227"/>
      <c r="E7" s="227"/>
    </row>
    <row r="8" spans="1:6" ht="13.5" thickBot="1">
      <c r="B8" s="210" t="s">
        <v>156</v>
      </c>
      <c r="C8" s="228">
        <v>7</v>
      </c>
      <c r="D8" s="212">
        <f>+[2]Activo!D7</f>
        <v>40299181</v>
      </c>
      <c r="E8" s="212">
        <f>+[2]Activo!E7</f>
        <v>37206648</v>
      </c>
      <c r="F8" s="82">
        <f>+(D8-E8)/1000</f>
        <v>3092.5329999999999</v>
      </c>
    </row>
    <row r="9" spans="1:6" ht="13.5" hidden="1" customHeight="1" thickBot="1">
      <c r="B9" s="210" t="s">
        <v>157</v>
      </c>
      <c r="C9" s="211">
        <v>9</v>
      </c>
      <c r="D9" s="212"/>
      <c r="E9" s="212"/>
      <c r="F9" s="82">
        <f t="shared" ref="F9:F72" si="0">+(D9-E9)/1000</f>
        <v>0</v>
      </c>
    </row>
    <row r="10" spans="1:6" ht="13.5" thickBot="1">
      <c r="B10" s="210" t="s">
        <v>158</v>
      </c>
      <c r="C10" s="211"/>
      <c r="D10" s="212">
        <f>+[2]Activo!D8</f>
        <v>232245</v>
      </c>
      <c r="E10" s="212">
        <f>+[2]Activo!E8</f>
        <v>1780010</v>
      </c>
      <c r="F10" s="82">
        <f t="shared" si="0"/>
        <v>-1547.7650000000001</v>
      </c>
    </row>
    <row r="11" spans="1:6" ht="13.5" thickBot="1">
      <c r="B11" s="210" t="s">
        <v>159</v>
      </c>
      <c r="C11" s="211">
        <v>8</v>
      </c>
      <c r="D11" s="212">
        <f>+[2]Activo!D9</f>
        <v>87959258</v>
      </c>
      <c r="E11" s="212">
        <f>+[2]Activo!E9</f>
        <v>78145805</v>
      </c>
      <c r="F11" s="82">
        <f t="shared" si="0"/>
        <v>9813.4529999999995</v>
      </c>
    </row>
    <row r="12" spans="1:6" ht="15" customHeight="1" thickBot="1">
      <c r="B12" s="210" t="s">
        <v>160</v>
      </c>
      <c r="C12" s="211">
        <v>9</v>
      </c>
      <c r="D12" s="212">
        <f>+[2]Activo!D10</f>
        <v>38941</v>
      </c>
      <c r="E12" s="212">
        <f>+[2]Activo!E10</f>
        <v>8215</v>
      </c>
      <c r="F12" s="82">
        <f t="shared" si="0"/>
        <v>30.725999999999999</v>
      </c>
    </row>
    <row r="13" spans="1:6" ht="15" customHeight="1" thickBot="1">
      <c r="B13" s="210" t="s">
        <v>161</v>
      </c>
      <c r="C13" s="211">
        <v>10</v>
      </c>
      <c r="D13" s="212">
        <f>+[2]Activo!D11</f>
        <v>3608089</v>
      </c>
      <c r="E13" s="212">
        <f>+[2]Activo!E11</f>
        <v>4383030</v>
      </c>
      <c r="F13" s="82">
        <f t="shared" si="0"/>
        <v>-774.94100000000003</v>
      </c>
    </row>
    <row r="14" spans="1:6" ht="15" customHeight="1" thickBot="1">
      <c r="B14" s="210" t="s">
        <v>162</v>
      </c>
      <c r="C14" s="211"/>
      <c r="D14" s="212">
        <f>+[2]Activo!D12</f>
        <v>2485107</v>
      </c>
      <c r="E14" s="212">
        <f>+[2]Activo!E12</f>
        <v>1413152</v>
      </c>
      <c r="F14" s="82">
        <f t="shared" si="0"/>
        <v>1071.9549999999999</v>
      </c>
    </row>
    <row r="15" spans="1:6" ht="36.75" customHeight="1" thickBot="1">
      <c r="B15" s="213" t="s">
        <v>163</v>
      </c>
      <c r="C15" s="214"/>
      <c r="D15" s="215">
        <f>SUM(D8:D14)</f>
        <v>134622821</v>
      </c>
      <c r="E15" s="215">
        <f>SUM(E8:E14)</f>
        <v>122936860</v>
      </c>
      <c r="F15" s="82">
        <f t="shared" si="0"/>
        <v>11685.960999999999</v>
      </c>
    </row>
    <row r="16" spans="1:6" ht="20.25" hidden="1" customHeight="1" thickBot="1">
      <c r="B16" s="216" t="s">
        <v>164</v>
      </c>
      <c r="C16" s="211"/>
      <c r="D16" s="212">
        <v>0</v>
      </c>
      <c r="E16" s="212">
        <v>0</v>
      </c>
      <c r="F16" s="82">
        <f t="shared" si="0"/>
        <v>0</v>
      </c>
    </row>
    <row r="17" spans="2:6" ht="18" hidden="1" customHeight="1" thickBot="1">
      <c r="B17" s="216" t="s">
        <v>165</v>
      </c>
      <c r="C17" s="211"/>
      <c r="D17" s="212">
        <v>0</v>
      </c>
      <c r="E17" s="212">
        <v>0</v>
      </c>
      <c r="F17" s="82">
        <f t="shared" si="0"/>
        <v>0</v>
      </c>
    </row>
    <row r="18" spans="2:6" ht="39" hidden="1" customHeight="1" thickBot="1">
      <c r="B18" s="213" t="s">
        <v>166</v>
      </c>
      <c r="C18" s="214"/>
      <c r="D18" s="215">
        <v>0</v>
      </c>
      <c r="E18" s="215">
        <v>0</v>
      </c>
      <c r="F18" s="82">
        <f t="shared" si="0"/>
        <v>0</v>
      </c>
    </row>
    <row r="19" spans="2:6" ht="15" customHeight="1" thickBot="1">
      <c r="B19" s="210"/>
      <c r="C19" s="211"/>
      <c r="D19" s="212"/>
      <c r="E19" s="212"/>
      <c r="F19" s="82">
        <f t="shared" si="0"/>
        <v>0</v>
      </c>
    </row>
    <row r="20" spans="2:6" ht="15" customHeight="1" thickBot="1">
      <c r="B20" s="229" t="s">
        <v>167</v>
      </c>
      <c r="C20" s="214"/>
      <c r="D20" s="230">
        <f>+D15</f>
        <v>134622821</v>
      </c>
      <c r="E20" s="230">
        <f>+E15</f>
        <v>122936860</v>
      </c>
      <c r="F20" s="82">
        <f t="shared" si="0"/>
        <v>11685.960999999999</v>
      </c>
    </row>
    <row r="21" spans="2:6" ht="15" customHeight="1">
      <c r="B21" s="208"/>
      <c r="C21" s="207"/>
      <c r="D21" s="220"/>
      <c r="E21" s="220"/>
      <c r="F21" s="82">
        <f t="shared" si="0"/>
        <v>0</v>
      </c>
    </row>
    <row r="22" spans="2:6" ht="15" customHeight="1" thickBot="1">
      <c r="B22" s="206" t="s">
        <v>168</v>
      </c>
      <c r="C22" s="207"/>
      <c r="D22" s="220"/>
      <c r="E22" s="220"/>
      <c r="F22" s="82">
        <f t="shared" si="0"/>
        <v>0</v>
      </c>
    </row>
    <row r="23" spans="2:6" ht="15" hidden="1" customHeight="1" thickBot="1">
      <c r="B23" s="210" t="s">
        <v>169</v>
      </c>
      <c r="C23" s="211">
        <v>7</v>
      </c>
      <c r="D23" s="212"/>
      <c r="E23" s="212"/>
      <c r="F23" s="82">
        <f t="shared" si="0"/>
        <v>0</v>
      </c>
    </row>
    <row r="24" spans="2:6" ht="15" customHeight="1" thickBot="1">
      <c r="B24" s="210" t="s">
        <v>157</v>
      </c>
      <c r="C24" s="211">
        <v>8</v>
      </c>
      <c r="D24" s="212">
        <f>+[2]Activo!D22</f>
        <v>7413197</v>
      </c>
      <c r="E24" s="212">
        <f>+[2]Activo!E22</f>
        <v>7367236</v>
      </c>
      <c r="F24" s="82">
        <f t="shared" si="0"/>
        <v>45.960999999999999</v>
      </c>
    </row>
    <row r="25" spans="2:6" ht="15" customHeight="1" thickBot="1">
      <c r="B25" s="210" t="s">
        <v>170</v>
      </c>
      <c r="C25" s="211"/>
      <c r="D25" s="212">
        <f>+[2]Activo!D23</f>
        <v>420067</v>
      </c>
      <c r="E25" s="212">
        <f>+[2]Activo!E23</f>
        <v>408949</v>
      </c>
      <c r="F25" s="82">
        <f t="shared" si="0"/>
        <v>11.118</v>
      </c>
    </row>
    <row r="26" spans="2:6" ht="15" customHeight="1" thickBot="1">
      <c r="B26" s="210" t="s">
        <v>171</v>
      </c>
      <c r="C26" s="211">
        <v>8</v>
      </c>
      <c r="D26" s="212">
        <f>+[2]Activo!D24</f>
        <v>1879762</v>
      </c>
      <c r="E26" s="212">
        <f>+[2]Activo!E24</f>
        <v>3035747</v>
      </c>
      <c r="F26" s="82">
        <f t="shared" si="0"/>
        <v>-1155.9849999999999</v>
      </c>
    </row>
    <row r="27" spans="2:6" ht="15" customHeight="1" thickBot="1">
      <c r="B27" s="210" t="s">
        <v>172</v>
      </c>
      <c r="C27" s="211">
        <v>11</v>
      </c>
      <c r="D27" s="212">
        <f>+[2]Activo!D25</f>
        <v>227347269</v>
      </c>
      <c r="E27" s="212">
        <f>+[2]Activo!E25</f>
        <v>225272517</v>
      </c>
      <c r="F27" s="82">
        <f t="shared" si="0"/>
        <v>2074.752</v>
      </c>
    </row>
    <row r="28" spans="2:6" ht="15" customHeight="1" thickBot="1">
      <c r="B28" s="210" t="s">
        <v>173</v>
      </c>
      <c r="C28" s="211">
        <v>12</v>
      </c>
      <c r="D28" s="212">
        <f>+[2]Activo!D26</f>
        <v>307581431</v>
      </c>
      <c r="E28" s="212">
        <f>+[2]Activo!E26</f>
        <v>307581431</v>
      </c>
      <c r="F28" s="82">
        <f t="shared" si="0"/>
        <v>0</v>
      </c>
    </row>
    <row r="29" spans="2:6" ht="15" customHeight="1" thickBot="1">
      <c r="B29" s="210" t="s">
        <v>174</v>
      </c>
      <c r="C29" s="211">
        <v>13</v>
      </c>
      <c r="D29" s="212">
        <f>+[2]Activo!D27</f>
        <v>1171228114</v>
      </c>
      <c r="E29" s="212">
        <f>+[2]Activo!E27</f>
        <v>1152360531</v>
      </c>
      <c r="F29" s="82">
        <f t="shared" si="0"/>
        <v>18867.582999999999</v>
      </c>
    </row>
    <row r="30" spans="2:6" ht="15" customHeight="1" thickBot="1">
      <c r="B30" s="210" t="s">
        <v>175</v>
      </c>
      <c r="C30" s="211">
        <v>23</v>
      </c>
      <c r="D30" s="212">
        <f>+[2]Activo!D28</f>
        <v>263122</v>
      </c>
      <c r="E30" s="212">
        <f>+[2]Activo!E28</f>
        <v>324398</v>
      </c>
      <c r="F30" s="82">
        <f t="shared" si="0"/>
        <v>-61.276000000000003</v>
      </c>
    </row>
    <row r="31" spans="2:6" ht="15" customHeight="1" thickBot="1">
      <c r="B31" s="217" t="s">
        <v>176</v>
      </c>
      <c r="C31" s="214"/>
      <c r="D31" s="215">
        <f>SUM(D24:D30)</f>
        <v>1716132962</v>
      </c>
      <c r="E31" s="215">
        <f>SUM(E24:E30)</f>
        <v>1696350809</v>
      </c>
      <c r="F31" s="82">
        <f t="shared" si="0"/>
        <v>19782.152999999998</v>
      </c>
    </row>
    <row r="32" spans="2:6" ht="15" customHeight="1" thickBot="1">
      <c r="B32" s="222"/>
      <c r="C32" s="231"/>
      <c r="D32" s="209"/>
      <c r="E32" s="209"/>
      <c r="F32" s="82">
        <f t="shared" si="0"/>
        <v>0</v>
      </c>
    </row>
    <row r="33" spans="1:6" ht="15" customHeight="1" thickBot="1">
      <c r="B33" s="217" t="s">
        <v>177</v>
      </c>
      <c r="C33" s="218"/>
      <c r="D33" s="215">
        <f>+D31+D20</f>
        <v>1850755783</v>
      </c>
      <c r="E33" s="215">
        <f>+E31+E20</f>
        <v>1819287669</v>
      </c>
      <c r="F33" s="82">
        <f t="shared" si="0"/>
        <v>31468.114000000001</v>
      </c>
    </row>
    <row r="34" spans="1:6">
      <c r="B34" s="232"/>
      <c r="C34" s="233"/>
      <c r="D34" s="234"/>
      <c r="E34" s="234"/>
      <c r="F34" s="82">
        <f t="shared" si="0"/>
        <v>0</v>
      </c>
    </row>
    <row r="35" spans="1:6" ht="13.5" thickBot="1">
      <c r="B35" s="232"/>
      <c r="C35" s="233"/>
      <c r="D35" s="234"/>
      <c r="E35" s="234"/>
      <c r="F35" s="82">
        <f t="shared" si="0"/>
        <v>0</v>
      </c>
    </row>
    <row r="36" spans="1:6">
      <c r="A36" s="83"/>
      <c r="B36" s="609" t="s">
        <v>178</v>
      </c>
      <c r="C36" s="611" t="s">
        <v>154</v>
      </c>
      <c r="D36" s="203">
        <v>41639</v>
      </c>
      <c r="E36" s="203">
        <v>41274</v>
      </c>
      <c r="F36" s="82">
        <f t="shared" si="0"/>
        <v>0.36499999999999999</v>
      </c>
    </row>
    <row r="37" spans="1:6" ht="13.5" thickBot="1">
      <c r="B37" s="610"/>
      <c r="C37" s="612"/>
      <c r="D37" s="204" t="s">
        <v>9</v>
      </c>
      <c r="E37" s="204" t="s">
        <v>9</v>
      </c>
      <c r="F37" s="82"/>
    </row>
    <row r="38" spans="1:6">
      <c r="B38" s="205"/>
      <c r="C38" s="206"/>
      <c r="D38" s="207"/>
      <c r="E38" s="207"/>
      <c r="F38" s="82">
        <f t="shared" si="0"/>
        <v>0</v>
      </c>
    </row>
    <row r="39" spans="1:6" ht="13.5" customHeight="1" thickBot="1">
      <c r="B39" s="206" t="s">
        <v>179</v>
      </c>
      <c r="C39" s="208"/>
      <c r="D39" s="209"/>
      <c r="E39" s="209"/>
      <c r="F39" s="82">
        <f t="shared" si="0"/>
        <v>0</v>
      </c>
    </row>
    <row r="40" spans="1:6" ht="13.5" thickBot="1">
      <c r="A40" s="130"/>
      <c r="B40" s="210" t="s">
        <v>180</v>
      </c>
      <c r="C40" s="211">
        <v>8</v>
      </c>
      <c r="D40" s="212">
        <f>+[2]Pasivo!D6</f>
        <v>93620208</v>
      </c>
      <c r="E40" s="212">
        <f>+[2]Pasivo!E6</f>
        <v>56804996</v>
      </c>
      <c r="F40" s="82">
        <f t="shared" si="0"/>
        <v>36815.212</v>
      </c>
    </row>
    <row r="41" spans="1:6" ht="13.5" thickBot="1">
      <c r="B41" s="210" t="s">
        <v>181</v>
      </c>
      <c r="C41" s="211">
        <v>8</v>
      </c>
      <c r="D41" s="212">
        <f>+[2]Pasivo!D7</f>
        <v>98814724</v>
      </c>
      <c r="E41" s="212">
        <f>+[2]Pasivo!E7</f>
        <v>75531641</v>
      </c>
      <c r="F41" s="82">
        <f t="shared" si="0"/>
        <v>23283.082999999999</v>
      </c>
    </row>
    <row r="42" spans="1:6" ht="15" customHeight="1" thickBot="1">
      <c r="B42" s="210" t="s">
        <v>182</v>
      </c>
      <c r="C42" s="211">
        <v>9</v>
      </c>
      <c r="D42" s="212">
        <f>+[2]Pasivo!D8</f>
        <v>21941594</v>
      </c>
      <c r="E42" s="212">
        <f>+[2]Pasivo!E8</f>
        <v>27329086</v>
      </c>
      <c r="F42" s="82">
        <f t="shared" si="0"/>
        <v>-5387.4920000000002</v>
      </c>
    </row>
    <row r="43" spans="1:6" ht="15" customHeight="1" thickBot="1">
      <c r="B43" s="210" t="s">
        <v>183</v>
      </c>
      <c r="C43" s="211">
        <v>15</v>
      </c>
      <c r="D43" s="212">
        <f>+[2]Pasivo!D9</f>
        <v>918556</v>
      </c>
      <c r="E43" s="212">
        <f>+[2]Pasivo!E9</f>
        <v>1331679</v>
      </c>
      <c r="F43" s="82">
        <f t="shared" si="0"/>
        <v>-413.12299999999999</v>
      </c>
    </row>
    <row r="44" spans="1:6" ht="15" customHeight="1" thickBot="1">
      <c r="B44" s="210" t="s">
        <v>184</v>
      </c>
      <c r="C44" s="211"/>
      <c r="D44" s="212">
        <f>+[2]Pasivo!D10</f>
        <v>88462</v>
      </c>
      <c r="E44" s="212">
        <f>+[2]Pasivo!E10</f>
        <v>1431184</v>
      </c>
      <c r="F44" s="82">
        <f t="shared" si="0"/>
        <v>-1342.722</v>
      </c>
    </row>
    <row r="45" spans="1:6" ht="15" customHeight="1" thickBot="1">
      <c r="B45" s="210" t="s">
        <v>185</v>
      </c>
      <c r="C45" s="211">
        <v>19</v>
      </c>
      <c r="D45" s="212">
        <f>+[2]Pasivo!D11</f>
        <v>4267442</v>
      </c>
      <c r="E45" s="212">
        <f>+[2]Pasivo!E11</f>
        <v>2972880</v>
      </c>
      <c r="F45" s="82">
        <f t="shared" si="0"/>
        <v>1294.5619999999999</v>
      </c>
    </row>
    <row r="46" spans="1:6" ht="15" customHeight="1" thickBot="1">
      <c r="B46" s="210" t="s">
        <v>186</v>
      </c>
      <c r="C46" s="211"/>
      <c r="D46" s="212">
        <f>+[2]Pasivo!D12</f>
        <v>1381524</v>
      </c>
      <c r="E46" s="212">
        <f>+[2]Pasivo!E12</f>
        <v>1941637</v>
      </c>
      <c r="F46" s="82">
        <f t="shared" si="0"/>
        <v>-560.11300000000006</v>
      </c>
    </row>
    <row r="47" spans="1:6" ht="28.5" customHeight="1" thickBot="1">
      <c r="B47" s="213" t="s">
        <v>187</v>
      </c>
      <c r="C47" s="214"/>
      <c r="D47" s="215">
        <f>SUM(D40:D46)</f>
        <v>221032510</v>
      </c>
      <c r="E47" s="215">
        <f>SUM(E40:E46)</f>
        <v>167343103</v>
      </c>
      <c r="F47" s="82">
        <f t="shared" si="0"/>
        <v>53689.406999999999</v>
      </c>
    </row>
    <row r="48" spans="1:6" ht="15" customHeight="1" thickBot="1">
      <c r="B48" s="210"/>
      <c r="C48" s="211"/>
      <c r="D48" s="212"/>
      <c r="E48" s="212"/>
      <c r="F48" s="82">
        <f t="shared" si="0"/>
        <v>0</v>
      </c>
    </row>
    <row r="49" spans="1:6" ht="18.75" hidden="1" customHeight="1" thickBot="1">
      <c r="B49" s="216" t="s">
        <v>188</v>
      </c>
      <c r="C49" s="211"/>
      <c r="D49" s="212">
        <v>0</v>
      </c>
      <c r="E49" s="212">
        <v>0</v>
      </c>
      <c r="F49" s="82">
        <f t="shared" si="0"/>
        <v>0</v>
      </c>
    </row>
    <row r="50" spans="1:6" ht="15" customHeight="1" thickBot="1">
      <c r="B50" s="217" t="s">
        <v>189</v>
      </c>
      <c r="C50" s="218"/>
      <c r="D50" s="215">
        <f>+D47+D49</f>
        <v>221032510</v>
      </c>
      <c r="E50" s="215">
        <f>+E47+E49</f>
        <v>167343103</v>
      </c>
      <c r="F50" s="82">
        <f t="shared" si="0"/>
        <v>53689.406999999999</v>
      </c>
    </row>
    <row r="51" spans="1:6" ht="15" customHeight="1">
      <c r="B51" s="208"/>
      <c r="C51" s="219"/>
      <c r="D51" s="220"/>
      <c r="E51" s="220"/>
      <c r="F51" s="82">
        <f t="shared" si="0"/>
        <v>0</v>
      </c>
    </row>
    <row r="52" spans="1:6" ht="15" customHeight="1" thickBot="1">
      <c r="B52" s="206" t="s">
        <v>190</v>
      </c>
      <c r="C52" s="208"/>
      <c r="D52" s="209"/>
      <c r="E52" s="209"/>
      <c r="F52" s="82">
        <f t="shared" si="0"/>
        <v>0</v>
      </c>
    </row>
    <row r="53" spans="1:6" ht="15" customHeight="1" thickBot="1">
      <c r="A53" s="130"/>
      <c r="B53" s="210" t="s">
        <v>180</v>
      </c>
      <c r="C53" s="211">
        <v>8</v>
      </c>
      <c r="D53" s="212">
        <f>+[2]Pasivo!D17</f>
        <v>626272073</v>
      </c>
      <c r="E53" s="212">
        <f>+[2]Pasivo!E17</f>
        <v>637349551</v>
      </c>
      <c r="F53" s="82">
        <f t="shared" si="0"/>
        <v>-11077.477999999999</v>
      </c>
    </row>
    <row r="54" spans="1:6" ht="15" customHeight="1" thickBot="1">
      <c r="B54" s="210" t="s">
        <v>191</v>
      </c>
      <c r="C54" s="211">
        <v>15</v>
      </c>
      <c r="D54" s="212">
        <f>+[2]Pasivo!D18</f>
        <v>1862609</v>
      </c>
      <c r="E54" s="212">
        <f>+[2]Pasivo!E18</f>
        <v>1498799</v>
      </c>
      <c r="F54" s="82">
        <f t="shared" si="0"/>
        <v>363.81</v>
      </c>
    </row>
    <row r="55" spans="1:6" ht="15" customHeight="1" thickBot="1">
      <c r="B55" s="210" t="s">
        <v>192</v>
      </c>
      <c r="C55" s="211">
        <v>23</v>
      </c>
      <c r="D55" s="212">
        <f>+[2]Pasivo!D19</f>
        <v>1118746</v>
      </c>
      <c r="E55" s="212">
        <f>+[2]Pasivo!E19</f>
        <v>1094239</v>
      </c>
      <c r="F55" s="82">
        <f t="shared" si="0"/>
        <v>24.507000000000001</v>
      </c>
    </row>
    <row r="56" spans="1:6" ht="15" customHeight="1" thickBot="1">
      <c r="B56" s="210" t="s">
        <v>193</v>
      </c>
      <c r="C56" s="211">
        <v>8</v>
      </c>
      <c r="D56" s="212">
        <f>+[2]Pasivo!D20</f>
        <v>34360206</v>
      </c>
      <c r="E56" s="212">
        <f>+[2]Pasivo!E20</f>
        <v>37754591</v>
      </c>
      <c r="F56" s="82">
        <f t="shared" si="0"/>
        <v>-3394.3850000000002</v>
      </c>
    </row>
    <row r="57" spans="1:6" ht="15" customHeight="1" thickBot="1">
      <c r="B57" s="210" t="s">
        <v>194</v>
      </c>
      <c r="C57" s="211">
        <v>19</v>
      </c>
      <c r="D57" s="212">
        <f>+[2]Pasivo!D21</f>
        <v>8542371</v>
      </c>
      <c r="E57" s="212">
        <f>+[2]Pasivo!E21</f>
        <v>8677001</v>
      </c>
      <c r="F57" s="82">
        <f t="shared" si="0"/>
        <v>-134.63</v>
      </c>
    </row>
    <row r="58" spans="1:6" ht="15" customHeight="1" thickBot="1">
      <c r="B58" s="210" t="s">
        <v>186</v>
      </c>
      <c r="C58" s="211"/>
      <c r="D58" s="212">
        <f>+[2]Pasivo!D22</f>
        <v>7888047</v>
      </c>
      <c r="E58" s="212">
        <f>+[2]Pasivo!E22</f>
        <v>9043975</v>
      </c>
      <c r="F58" s="82">
        <f t="shared" si="0"/>
        <v>-1155.9280000000001</v>
      </c>
    </row>
    <row r="59" spans="1:6" ht="15" customHeight="1" thickBot="1">
      <c r="B59" s="217" t="s">
        <v>195</v>
      </c>
      <c r="C59" s="218"/>
      <c r="D59" s="215">
        <f>SUM(D53:D58)</f>
        <v>680044052</v>
      </c>
      <c r="E59" s="215">
        <f>SUM(E53:E58)</f>
        <v>695418156</v>
      </c>
      <c r="F59" s="82">
        <f t="shared" si="0"/>
        <v>-15374.103999999999</v>
      </c>
    </row>
    <row r="60" spans="1:6" ht="15" customHeight="1" thickBot="1">
      <c r="B60" s="221"/>
      <c r="C60" s="222"/>
      <c r="D60" s="209"/>
      <c r="E60" s="209"/>
      <c r="F60" s="82">
        <f t="shared" si="0"/>
        <v>0</v>
      </c>
    </row>
    <row r="61" spans="1:6" ht="15" customHeight="1" thickBot="1">
      <c r="B61" s="217" t="s">
        <v>196</v>
      </c>
      <c r="C61" s="218"/>
      <c r="D61" s="215">
        <f>+D59+D47</f>
        <v>901076562</v>
      </c>
      <c r="E61" s="215">
        <f>+E59+E47</f>
        <v>862761259</v>
      </c>
      <c r="F61" s="82">
        <f t="shared" si="0"/>
        <v>38315.303</v>
      </c>
    </row>
    <row r="62" spans="1:6" ht="15" customHeight="1">
      <c r="B62" s="206"/>
      <c r="C62" s="219"/>
      <c r="D62" s="220"/>
      <c r="E62" s="220"/>
      <c r="F62" s="82">
        <f t="shared" si="0"/>
        <v>0</v>
      </c>
    </row>
    <row r="63" spans="1:6" ht="15" customHeight="1" thickBot="1">
      <c r="B63" s="206" t="s">
        <v>197</v>
      </c>
      <c r="C63" s="208"/>
      <c r="D63" s="209"/>
      <c r="E63" s="209"/>
      <c r="F63" s="82">
        <f t="shared" si="0"/>
        <v>0</v>
      </c>
    </row>
    <row r="64" spans="1:6" ht="11.25" hidden="1" customHeight="1" thickBot="1">
      <c r="B64" s="613"/>
      <c r="C64" s="614"/>
      <c r="D64" s="614"/>
      <c r="E64" s="614"/>
      <c r="F64" s="82">
        <f t="shared" si="0"/>
        <v>0</v>
      </c>
    </row>
    <row r="65" spans="2:6" ht="13.5" thickBot="1">
      <c r="B65" s="210" t="s">
        <v>198</v>
      </c>
      <c r="C65" s="211"/>
      <c r="D65" s="212">
        <f>+[2]Pasivo!D27</f>
        <v>468358402</v>
      </c>
      <c r="E65" s="212">
        <f>+[2]Pasivo!E27</f>
        <v>468358402</v>
      </c>
      <c r="F65" s="82">
        <f t="shared" si="0"/>
        <v>0</v>
      </c>
    </row>
    <row r="66" spans="2:6" ht="13.5" thickBot="1">
      <c r="B66" s="210" t="s">
        <v>199</v>
      </c>
      <c r="C66" s="211"/>
      <c r="D66" s="212">
        <f>+[2]Pasivo!D28</f>
        <v>149822099</v>
      </c>
      <c r="E66" s="212">
        <f>+[2]Pasivo!E28</f>
        <v>152697656</v>
      </c>
      <c r="F66" s="82">
        <f t="shared" si="0"/>
        <v>-2875.5569999999998</v>
      </c>
    </row>
    <row r="67" spans="2:6" ht="13.5" hidden="1" customHeight="1" thickBot="1">
      <c r="B67" s="210" t="s">
        <v>200</v>
      </c>
      <c r="C67" s="211"/>
      <c r="D67" s="212">
        <v>0</v>
      </c>
      <c r="E67" s="212">
        <v>0</v>
      </c>
      <c r="F67" s="82">
        <f t="shared" si="0"/>
        <v>0</v>
      </c>
    </row>
    <row r="68" spans="2:6" ht="13.5" thickBot="1">
      <c r="B68" s="210" t="s">
        <v>200</v>
      </c>
      <c r="C68" s="211"/>
      <c r="D68" s="212">
        <v>0</v>
      </c>
      <c r="E68" s="212">
        <v>0</v>
      </c>
      <c r="F68" s="82">
        <f t="shared" si="0"/>
        <v>0</v>
      </c>
    </row>
    <row r="69" spans="2:6" ht="13.5" thickBot="1">
      <c r="B69" s="210" t="s">
        <v>201</v>
      </c>
      <c r="C69" s="211"/>
      <c r="D69" s="212">
        <f>+[2]Pasivo!D29</f>
        <v>-37268417</v>
      </c>
      <c r="E69" s="212">
        <f>+[2]Pasivo!E29</f>
        <v>-37268417</v>
      </c>
      <c r="F69" s="82">
        <f t="shared" si="0"/>
        <v>0</v>
      </c>
    </row>
    <row r="70" spans="2:6" ht="23.25" customHeight="1" thickBot="1">
      <c r="B70" s="223" t="s">
        <v>112</v>
      </c>
      <c r="C70" s="211"/>
      <c r="D70" s="224">
        <f>SUM(D65:D69)</f>
        <v>580912084</v>
      </c>
      <c r="E70" s="224">
        <f>SUM(E65:E69)</f>
        <v>583787641</v>
      </c>
      <c r="F70" s="82">
        <f t="shared" si="0"/>
        <v>-2875.5569999999998</v>
      </c>
    </row>
    <row r="71" spans="2:6" ht="15" customHeight="1" thickBot="1">
      <c r="B71" s="225" t="s">
        <v>113</v>
      </c>
      <c r="C71" s="211">
        <v>4</v>
      </c>
      <c r="D71" s="224">
        <f>+[2]Pasivo!D31</f>
        <v>368767137</v>
      </c>
      <c r="E71" s="224">
        <f>+[2]Pasivo!E31</f>
        <v>372738769</v>
      </c>
      <c r="F71" s="82">
        <f t="shared" si="0"/>
        <v>-3971.6320000000001</v>
      </c>
    </row>
    <row r="72" spans="2:6" ht="32.25" customHeight="1" thickBot="1">
      <c r="B72" s="217" t="s">
        <v>202</v>
      </c>
      <c r="C72" s="226"/>
      <c r="D72" s="215">
        <f>+D71+D70</f>
        <v>949679221</v>
      </c>
      <c r="E72" s="215">
        <f>+E70+E71</f>
        <v>956526410</v>
      </c>
      <c r="F72" s="82">
        <f t="shared" si="0"/>
        <v>-6847.1890000000003</v>
      </c>
    </row>
    <row r="73" spans="2:6" ht="15" customHeight="1" thickBot="1">
      <c r="B73" s="208"/>
      <c r="C73" s="219"/>
      <c r="D73" s="220"/>
      <c r="E73" s="220"/>
      <c r="F73" s="82">
        <f>+(D73-E73)/1000</f>
        <v>0</v>
      </c>
    </row>
    <row r="74" spans="2:6" ht="15" customHeight="1" thickBot="1">
      <c r="B74" s="217" t="s">
        <v>203</v>
      </c>
      <c r="C74" s="218"/>
      <c r="D74" s="215">
        <f>+D72+D61</f>
        <v>1850755783</v>
      </c>
      <c r="E74" s="215">
        <f>+E72+E61</f>
        <v>1819287669</v>
      </c>
      <c r="F74" s="82">
        <f>+(D74-E74)/1000</f>
        <v>31468.114000000001</v>
      </c>
    </row>
    <row r="76" spans="2:6" ht="15" customHeight="1">
      <c r="D76" s="82">
        <f>+D74-D33</f>
        <v>0</v>
      </c>
      <c r="E76" s="82">
        <f>+E74-E33</f>
        <v>0</v>
      </c>
    </row>
  </sheetData>
  <mergeCells count="5">
    <mergeCell ref="B4:B5"/>
    <mergeCell ref="C4:C5"/>
    <mergeCell ref="B36:B37"/>
    <mergeCell ref="C36:C37"/>
    <mergeCell ref="B64:E64"/>
  </mergeCells>
  <pageMargins left="0.27559055118110237" right="0.47244094488188981" top="0.74803149606299213" bottom="0.74803149606299213" header="0.31496062992125984" footer="0.31496062992125984"/>
  <pageSetup fitToHeight="2" orientation="portrait" r:id="rId1"/>
  <rowBreaks count="1" manualBreakCount="1">
    <brk id="33" min="1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  <pageSetUpPr fitToPage="1"/>
  </sheetPr>
  <dimension ref="A1:J64"/>
  <sheetViews>
    <sheetView showGridLines="0" zoomScale="120" zoomScaleNormal="120" workbookViewId="0">
      <selection activeCell="J40" sqref="J40"/>
    </sheetView>
  </sheetViews>
  <sheetFormatPr baseColWidth="10" defaultRowHeight="12.75"/>
  <cols>
    <col min="1" max="1" width="7.5703125" style="89" customWidth="1"/>
    <col min="2" max="2" width="68.5703125" style="89" customWidth="1"/>
    <col min="3" max="3" width="7.7109375" style="89" customWidth="1"/>
    <col min="4" max="5" width="13.85546875" style="89" customWidth="1"/>
    <col min="6" max="7" width="13.85546875" style="89" hidden="1" customWidth="1"/>
    <col min="8" max="16384" width="11.42578125" style="89"/>
  </cols>
  <sheetData>
    <row r="1" spans="1:10" ht="9.75" customHeight="1"/>
    <row r="2" spans="1:10">
      <c r="B2" s="90" t="s">
        <v>204</v>
      </c>
      <c r="C2" s="91"/>
    </row>
    <row r="3" spans="1:10" ht="24.75" customHeight="1" thickBot="1">
      <c r="C3" s="91"/>
    </row>
    <row r="4" spans="1:10" ht="22.5" customHeight="1" thickBot="1">
      <c r="A4" s="83"/>
      <c r="B4" s="217" t="s">
        <v>205</v>
      </c>
      <c r="C4" s="214" t="s">
        <v>154</v>
      </c>
      <c r="D4" s="235">
        <v>41639</v>
      </c>
      <c r="E4" s="235">
        <v>41274</v>
      </c>
      <c r="F4" s="92" t="s">
        <v>297</v>
      </c>
      <c r="G4" s="92" t="s">
        <v>298</v>
      </c>
    </row>
    <row r="5" spans="1:10" ht="15" customHeight="1" thickBot="1">
      <c r="B5" s="218" t="s">
        <v>206</v>
      </c>
      <c r="C5" s="236"/>
      <c r="D5" s="237" t="s">
        <v>9</v>
      </c>
      <c r="E5" s="237" t="s">
        <v>9</v>
      </c>
      <c r="F5" s="93" t="s">
        <v>9</v>
      </c>
      <c r="G5" s="93" t="s">
        <v>9</v>
      </c>
    </row>
    <row r="6" spans="1:10" ht="15" hidden="1" customHeight="1" thickBot="1">
      <c r="B6" s="210"/>
      <c r="C6" s="210"/>
      <c r="D6" s="212"/>
      <c r="E6" s="212"/>
      <c r="F6" s="84"/>
      <c r="G6" s="84"/>
    </row>
    <row r="7" spans="1:10" ht="15" customHeight="1" thickBot="1">
      <c r="B7" s="210" t="s">
        <v>144</v>
      </c>
      <c r="C7" s="211">
        <v>17</v>
      </c>
      <c r="D7" s="212">
        <f>+'[2]Estado de Resultado'!D5</f>
        <v>402791320</v>
      </c>
      <c r="E7" s="212">
        <f>+'[2]Estado de Resultado'!E5</f>
        <v>383027125</v>
      </c>
      <c r="F7" s="84">
        <v>80501329</v>
      </c>
      <c r="G7" s="84">
        <v>76060586</v>
      </c>
      <c r="H7" s="94"/>
      <c r="I7" s="94"/>
      <c r="J7" s="94"/>
    </row>
    <row r="8" spans="1:10" ht="15" customHeight="1" thickBot="1">
      <c r="B8" s="210" t="s">
        <v>126</v>
      </c>
      <c r="C8" s="211"/>
      <c r="D8" s="212">
        <f>+'[2]Estado de Resultado'!D6</f>
        <v>-27416534</v>
      </c>
      <c r="E8" s="212">
        <f>+'[2]Estado de Resultado'!E6</f>
        <v>-29164206</v>
      </c>
      <c r="F8" s="84">
        <v>-7355157</v>
      </c>
      <c r="G8" s="84">
        <v>-6845053</v>
      </c>
      <c r="H8" s="94"/>
      <c r="I8" s="94"/>
      <c r="J8" s="94"/>
    </row>
    <row r="9" spans="1:10" ht="15" customHeight="1" thickBot="1">
      <c r="B9" s="210" t="s">
        <v>109</v>
      </c>
      <c r="C9" s="211">
        <v>19</v>
      </c>
      <c r="D9" s="212">
        <f>+'[2]Estado de Resultado'!D7</f>
        <v>-40811406</v>
      </c>
      <c r="E9" s="212">
        <f>+'[2]Estado de Resultado'!E7</f>
        <v>-38488071</v>
      </c>
      <c r="F9" s="84">
        <v>-9441192</v>
      </c>
      <c r="G9" s="84">
        <v>-8565837</v>
      </c>
      <c r="H9" s="94"/>
      <c r="I9" s="94"/>
      <c r="J9" s="94"/>
    </row>
    <row r="10" spans="1:10" ht="15" customHeight="1" thickBot="1">
      <c r="B10" s="210" t="s">
        <v>110</v>
      </c>
      <c r="C10" s="238" t="s">
        <v>300</v>
      </c>
      <c r="D10" s="212">
        <f>+'[2]Estado de Resultado'!D8</f>
        <v>-64721070</v>
      </c>
      <c r="E10" s="212">
        <f>+'[2]Estado de Resultado'!E8</f>
        <v>-55225495</v>
      </c>
      <c r="F10" s="84">
        <v>-13520376</v>
      </c>
      <c r="G10" s="84">
        <v>-13348301</v>
      </c>
      <c r="H10" s="94"/>
      <c r="I10" s="94"/>
      <c r="J10" s="94"/>
    </row>
    <row r="11" spans="1:10" ht="18.75" customHeight="1" thickBot="1">
      <c r="B11" s="216" t="s">
        <v>127</v>
      </c>
      <c r="C11" s="238" t="s">
        <v>301</v>
      </c>
      <c r="D11" s="212"/>
      <c r="E11" s="212"/>
      <c r="F11" s="84">
        <v>250000</v>
      </c>
      <c r="G11" s="84">
        <v>-131589</v>
      </c>
      <c r="H11" s="94"/>
      <c r="I11" s="94"/>
      <c r="J11" s="94"/>
    </row>
    <row r="12" spans="1:10" ht="15" customHeight="1" thickBot="1">
      <c r="B12" s="210" t="s">
        <v>111</v>
      </c>
      <c r="C12" s="211">
        <v>21</v>
      </c>
      <c r="D12" s="212">
        <f>+'[2]Estado de Resultado'!D9</f>
        <v>-88149562</v>
      </c>
      <c r="E12" s="212">
        <f>+'[2]Estado de Resultado'!E9</f>
        <v>-73857844</v>
      </c>
      <c r="F12" s="84">
        <v>-18174453</v>
      </c>
      <c r="G12" s="84">
        <v>-17575459</v>
      </c>
      <c r="H12" s="94"/>
      <c r="I12" s="94"/>
      <c r="J12" s="94"/>
    </row>
    <row r="13" spans="1:10" ht="15" customHeight="1" thickBot="1">
      <c r="B13" s="210" t="s">
        <v>207</v>
      </c>
      <c r="C13" s="211">
        <v>5</v>
      </c>
      <c r="D13" s="212">
        <f>+'[2]Estado de Resultado'!D10</f>
        <v>1326676</v>
      </c>
      <c r="E13" s="212">
        <f>+'[2]Estado de Resultado'!E10</f>
        <v>628694</v>
      </c>
      <c r="F13" s="84">
        <v>47467</v>
      </c>
      <c r="G13" s="84">
        <v>1705150</v>
      </c>
      <c r="H13" s="94"/>
      <c r="I13" s="94"/>
      <c r="J13" s="94"/>
    </row>
    <row r="14" spans="1:10" ht="15" customHeight="1" thickBot="1">
      <c r="B14" s="210" t="s">
        <v>118</v>
      </c>
      <c r="C14" s="211">
        <v>5</v>
      </c>
      <c r="D14" s="212">
        <f>+'[2]Estado de Resultado'!D11</f>
        <v>7056285</v>
      </c>
      <c r="E14" s="212">
        <f>+'[2]Estado de Resultado'!E11</f>
        <v>8388892</v>
      </c>
      <c r="F14" s="84">
        <v>1868587</v>
      </c>
      <c r="G14" s="84">
        <v>1378108</v>
      </c>
      <c r="H14" s="94"/>
      <c r="I14" s="94"/>
      <c r="J14" s="94"/>
    </row>
    <row r="15" spans="1:10" ht="15" customHeight="1" thickBot="1">
      <c r="B15" s="210" t="s">
        <v>208</v>
      </c>
      <c r="C15" s="211">
        <v>5</v>
      </c>
      <c r="D15" s="212">
        <f>+'[2]Estado de Resultado'!D12</f>
        <v>-28886895</v>
      </c>
      <c r="E15" s="212">
        <f>+'[2]Estado de Resultado'!E12</f>
        <v>-24172052</v>
      </c>
      <c r="F15" s="84">
        <v>-5611305</v>
      </c>
      <c r="G15" s="84">
        <v>-7485697</v>
      </c>
      <c r="H15" s="94"/>
      <c r="I15" s="94"/>
      <c r="J15" s="94"/>
    </row>
    <row r="16" spans="1:10" ht="15" customHeight="1" thickBot="1">
      <c r="B16" s="210" t="s">
        <v>209</v>
      </c>
      <c r="C16" s="211">
        <v>20</v>
      </c>
      <c r="D16" s="212">
        <f>+'[2]Estado de Resultado'!D13</f>
        <v>-1529</v>
      </c>
      <c r="E16" s="212">
        <f>+'[2]Estado de Resultado'!E13</f>
        <v>-26734</v>
      </c>
      <c r="F16" s="84">
        <v>-1693</v>
      </c>
      <c r="G16" s="84">
        <v>17530</v>
      </c>
      <c r="H16" s="94"/>
      <c r="I16" s="94"/>
      <c r="J16" s="94"/>
    </row>
    <row r="17" spans="1:10" ht="15" customHeight="1" thickBot="1">
      <c r="B17" s="210" t="s">
        <v>210</v>
      </c>
      <c r="C17" s="211"/>
      <c r="D17" s="212">
        <f>+'[2]Estado de Resultado'!D14</f>
        <v>-12954456</v>
      </c>
      <c r="E17" s="212">
        <f>+'[2]Estado de Resultado'!E14</f>
        <v>-13885549</v>
      </c>
      <c r="F17" s="84">
        <v>874175</v>
      </c>
      <c r="G17" s="84">
        <v>-2873351</v>
      </c>
      <c r="H17" s="94"/>
      <c r="I17" s="94"/>
      <c r="J17" s="94"/>
    </row>
    <row r="18" spans="1:10" ht="15" hidden="1" customHeight="1" thickBot="1">
      <c r="B18" s="210" t="s">
        <v>211</v>
      </c>
      <c r="C18" s="211"/>
      <c r="D18" s="212"/>
      <c r="E18" s="212"/>
      <c r="F18" s="84"/>
      <c r="G18" s="84"/>
      <c r="H18" s="94"/>
      <c r="I18" s="94"/>
      <c r="J18" s="94"/>
    </row>
    <row r="19" spans="1:10" ht="15" customHeight="1" thickBot="1">
      <c r="B19" s="239" t="s">
        <v>212</v>
      </c>
      <c r="C19" s="226"/>
      <c r="D19" s="240">
        <f>SUM(D7:D18)</f>
        <v>148232829</v>
      </c>
      <c r="E19" s="240">
        <f>SUM(E7:E18)</f>
        <v>157224760</v>
      </c>
      <c r="F19" s="95">
        <v>29437382</v>
      </c>
      <c r="G19" s="95">
        <v>22336087</v>
      </c>
      <c r="H19" s="94"/>
      <c r="I19" s="94"/>
      <c r="J19" s="94"/>
    </row>
    <row r="20" spans="1:10" ht="15" customHeight="1" thickBot="1">
      <c r="A20" s="96"/>
      <c r="B20" s="241" t="s">
        <v>213</v>
      </c>
      <c r="C20" s="211">
        <v>23</v>
      </c>
      <c r="D20" s="212">
        <f>+'[2]Estado de Resultado'!D16</f>
        <v>-29333029</v>
      </c>
      <c r="E20" s="212">
        <f>+'[2]Estado de Resultado'!E16</f>
        <v>-35769001</v>
      </c>
      <c r="F20" s="84">
        <v>-13110701</v>
      </c>
      <c r="G20" s="84">
        <v>-4114107</v>
      </c>
      <c r="H20" s="94"/>
      <c r="I20" s="94"/>
      <c r="J20" s="94"/>
    </row>
    <row r="21" spans="1:10" ht="15" customHeight="1" thickBot="1">
      <c r="B21" s="239" t="s">
        <v>214</v>
      </c>
      <c r="C21" s="236"/>
      <c r="D21" s="240">
        <f>+D19+D20</f>
        <v>118899800</v>
      </c>
      <c r="E21" s="240">
        <f>+E19+E20</f>
        <v>121455759</v>
      </c>
      <c r="F21" s="95">
        <v>16326681</v>
      </c>
      <c r="G21" s="95">
        <v>18221980</v>
      </c>
      <c r="H21" s="94"/>
      <c r="I21" s="94"/>
      <c r="J21" s="94"/>
    </row>
    <row r="22" spans="1:10" ht="9" customHeight="1" thickBot="1">
      <c r="B22" s="242"/>
      <c r="C22" s="243"/>
      <c r="D22" s="243"/>
      <c r="E22" s="244"/>
      <c r="F22" s="97"/>
      <c r="G22" s="98"/>
      <c r="H22" s="94"/>
      <c r="I22" s="94"/>
      <c r="J22" s="94"/>
    </row>
    <row r="23" spans="1:10" ht="15" customHeight="1" thickBot="1">
      <c r="B23" s="236" t="s">
        <v>215</v>
      </c>
      <c r="C23" s="236"/>
      <c r="D23" s="240">
        <f>+D21</f>
        <v>118899800</v>
      </c>
      <c r="E23" s="240">
        <f>+E21</f>
        <v>121455759</v>
      </c>
      <c r="F23" s="95">
        <v>16326681</v>
      </c>
      <c r="G23" s="95">
        <v>18221980</v>
      </c>
      <c r="H23" s="94"/>
      <c r="I23" s="94"/>
      <c r="J23" s="94"/>
    </row>
    <row r="24" spans="1:10" ht="20.25" customHeight="1" thickBot="1">
      <c r="B24" s="245" t="s">
        <v>216</v>
      </c>
      <c r="C24" s="210" t="s">
        <v>5</v>
      </c>
      <c r="D24" s="246"/>
      <c r="E24" s="247"/>
      <c r="F24" s="99"/>
      <c r="G24" s="100"/>
      <c r="H24" s="94"/>
      <c r="I24" s="94"/>
      <c r="J24" s="94"/>
    </row>
    <row r="25" spans="1:10" ht="19.5" customHeight="1" thickBot="1">
      <c r="B25" s="248" t="s">
        <v>217</v>
      </c>
      <c r="C25" s="218"/>
      <c r="D25" s="215">
        <f>+D23-D26</f>
        <v>57647853</v>
      </c>
      <c r="E25" s="215">
        <f>+E23-E26</f>
        <v>60214211</v>
      </c>
      <c r="F25" s="86">
        <v>17735209</v>
      </c>
      <c r="G25" s="86">
        <v>18183992</v>
      </c>
      <c r="H25" s="94"/>
      <c r="I25" s="94"/>
      <c r="J25" s="94"/>
    </row>
    <row r="26" spans="1:10" ht="15" customHeight="1" thickBot="1">
      <c r="B26" s="210" t="s">
        <v>218</v>
      </c>
      <c r="C26" s="211">
        <v>4</v>
      </c>
      <c r="D26" s="212">
        <f>+'[2]Estado de Resultado'!D22</f>
        <v>61251947</v>
      </c>
      <c r="E26" s="212">
        <f>+'[2]Estado de Resultado'!E22</f>
        <v>61241548</v>
      </c>
      <c r="F26" s="84">
        <v>-1408528</v>
      </c>
      <c r="G26" s="84">
        <v>37988</v>
      </c>
      <c r="H26" s="94"/>
      <c r="I26" s="94"/>
      <c r="J26" s="94"/>
    </row>
    <row r="27" spans="1:10" ht="15" customHeight="1" thickBot="1">
      <c r="B27" s="236" t="s">
        <v>219</v>
      </c>
      <c r="C27" s="236"/>
      <c r="D27" s="240">
        <f>+D25+D26</f>
        <v>118899800</v>
      </c>
      <c r="E27" s="240">
        <f>+E25+E26</f>
        <v>121455759</v>
      </c>
      <c r="F27" s="95">
        <v>16326681</v>
      </c>
      <c r="G27" s="95">
        <v>18221980</v>
      </c>
      <c r="H27" s="94"/>
      <c r="I27" s="94"/>
      <c r="J27" s="94"/>
    </row>
    <row r="28" spans="1:10" ht="15" customHeight="1" thickBot="1">
      <c r="B28" s="225" t="s">
        <v>220</v>
      </c>
      <c r="C28" s="210"/>
      <c r="D28" s="243"/>
      <c r="E28" s="247"/>
      <c r="F28" s="97"/>
      <c r="G28" s="100"/>
      <c r="H28" s="94"/>
      <c r="I28" s="94"/>
      <c r="J28" s="94"/>
    </row>
    <row r="29" spans="1:10" ht="15" customHeight="1" thickBot="1">
      <c r="B29" s="210" t="s">
        <v>221</v>
      </c>
      <c r="C29" s="211"/>
      <c r="D29" s="249">
        <f>+'[2]Estado de Resultado'!D25</f>
        <v>57.647852999999998</v>
      </c>
      <c r="E29" s="249">
        <f>+'[2]Estado de Resultado'!E25</f>
        <v>60.214210999999999</v>
      </c>
      <c r="F29" s="101">
        <v>2.8984000621438413</v>
      </c>
      <c r="G29" s="101">
        <v>2.9717430193702885</v>
      </c>
      <c r="H29" s="94"/>
      <c r="I29" s="94"/>
      <c r="J29" s="94"/>
    </row>
    <row r="30" spans="1:10" ht="15" customHeight="1" thickBot="1">
      <c r="B30" s="217" t="s">
        <v>222</v>
      </c>
      <c r="C30" s="226">
        <v>24</v>
      </c>
      <c r="D30" s="250">
        <f>+D29</f>
        <v>57.647852999999998</v>
      </c>
      <c r="E30" s="250">
        <f>+E29</f>
        <v>60.214210999999999</v>
      </c>
      <c r="F30" s="102">
        <v>2.8984000621438413</v>
      </c>
      <c r="G30" s="102">
        <v>2.9717430193702885</v>
      </c>
      <c r="H30" s="94"/>
      <c r="I30" s="94"/>
      <c r="J30" s="94"/>
    </row>
    <row r="31" spans="1:10" ht="9" hidden="1" customHeight="1" thickBot="1">
      <c r="B31" s="251"/>
      <c r="C31" s="247"/>
      <c r="D31" s="247"/>
      <c r="E31" s="247"/>
      <c r="F31" s="100"/>
      <c r="G31" s="100"/>
      <c r="H31" s="94"/>
      <c r="I31" s="94"/>
      <c r="J31" s="94"/>
    </row>
    <row r="32" spans="1:10" ht="15" hidden="1" customHeight="1" thickBot="1">
      <c r="B32" s="218" t="s">
        <v>215</v>
      </c>
      <c r="C32" s="218"/>
      <c r="D32" s="215"/>
      <c r="E32" s="215"/>
      <c r="F32" s="86"/>
      <c r="G32" s="86"/>
      <c r="H32" s="94"/>
      <c r="I32" s="94"/>
      <c r="J32" s="94"/>
    </row>
    <row r="33" spans="1:10" ht="24.75" hidden="1" customHeight="1" thickBot="1">
      <c r="B33" s="252" t="s">
        <v>223</v>
      </c>
      <c r="C33" s="210" t="s">
        <v>5</v>
      </c>
      <c r="D33" s="246"/>
      <c r="E33" s="247"/>
      <c r="F33" s="99"/>
      <c r="G33" s="100"/>
      <c r="H33" s="94"/>
      <c r="I33" s="94"/>
      <c r="J33" s="94"/>
    </row>
    <row r="34" spans="1:10" ht="15.75" hidden="1" customHeight="1" thickBot="1">
      <c r="B34" s="210" t="s">
        <v>224</v>
      </c>
      <c r="C34" s="210"/>
      <c r="D34" s="131"/>
      <c r="E34" s="212"/>
      <c r="G34" s="84"/>
      <c r="H34" s="94"/>
      <c r="I34" s="94"/>
      <c r="J34" s="94"/>
    </row>
    <row r="35" spans="1:10" ht="16.5" hidden="1" customHeight="1" thickBot="1">
      <c r="B35" s="253" t="s">
        <v>225</v>
      </c>
      <c r="C35" s="210"/>
      <c r="D35" s="212"/>
      <c r="E35" s="224"/>
      <c r="F35" s="84"/>
      <c r="G35" s="88"/>
      <c r="H35" s="94"/>
      <c r="I35" s="94"/>
      <c r="J35" s="94"/>
    </row>
    <row r="36" spans="1:10" ht="15" hidden="1" customHeight="1" thickBot="1">
      <c r="B36" s="218" t="s">
        <v>226</v>
      </c>
      <c r="C36" s="218"/>
      <c r="D36" s="215"/>
      <c r="E36" s="215"/>
      <c r="F36" s="86"/>
      <c r="G36" s="86"/>
      <c r="H36" s="94"/>
      <c r="I36" s="94"/>
      <c r="J36" s="94"/>
    </row>
    <row r="37" spans="1:10" ht="9.75" hidden="1" customHeight="1" thickBot="1">
      <c r="B37" s="251"/>
      <c r="C37" s="207"/>
      <c r="D37" s="207"/>
      <c r="E37" s="207"/>
      <c r="F37" s="87"/>
      <c r="G37" s="87"/>
      <c r="H37" s="94"/>
      <c r="I37" s="94"/>
      <c r="J37" s="94"/>
    </row>
    <row r="38" spans="1:10" ht="26.25" hidden="1" customHeight="1" thickBot="1">
      <c r="B38" s="252" t="s">
        <v>227</v>
      </c>
      <c r="C38" s="254"/>
      <c r="D38" s="255"/>
      <c r="E38" s="255"/>
      <c r="F38" s="103"/>
      <c r="G38" s="103"/>
      <c r="H38" s="94"/>
      <c r="I38" s="94"/>
      <c r="J38" s="94"/>
    </row>
    <row r="39" spans="1:10" ht="21" hidden="1" customHeight="1" thickBot="1">
      <c r="B39" s="256" t="s">
        <v>228</v>
      </c>
      <c r="C39" s="218"/>
      <c r="D39" s="215"/>
      <c r="E39" s="215"/>
      <c r="F39" s="86"/>
      <c r="G39" s="86"/>
      <c r="H39" s="94"/>
      <c r="I39" s="94"/>
      <c r="J39" s="94"/>
    </row>
    <row r="40" spans="1:10" ht="17.25" hidden="1" customHeight="1" thickBot="1">
      <c r="B40" s="210" t="s">
        <v>229</v>
      </c>
      <c r="C40" s="210"/>
      <c r="D40" s="212"/>
      <c r="E40" s="212"/>
      <c r="F40" s="84"/>
      <c r="G40" s="84"/>
      <c r="H40" s="94"/>
      <c r="I40" s="94"/>
      <c r="J40" s="94"/>
    </row>
    <row r="41" spans="1:10" ht="13.5" hidden="1" customHeight="1" thickBot="1">
      <c r="B41" s="218" t="s">
        <v>230</v>
      </c>
      <c r="C41" s="218"/>
      <c r="D41" s="215"/>
      <c r="E41" s="215"/>
      <c r="F41" s="86"/>
      <c r="G41" s="86"/>
      <c r="H41" s="94"/>
      <c r="I41" s="94"/>
      <c r="J41" s="94"/>
    </row>
    <row r="42" spans="1:10">
      <c r="B42" s="131"/>
      <c r="C42" s="131"/>
      <c r="D42" s="131"/>
      <c r="E42" s="131"/>
      <c r="H42" s="94"/>
      <c r="I42" s="94"/>
      <c r="J42" s="94"/>
    </row>
    <row r="43" spans="1:10" ht="7.5" customHeight="1">
      <c r="B43" s="131"/>
      <c r="C43" s="131"/>
      <c r="D43" s="131"/>
      <c r="E43" s="131"/>
      <c r="H43" s="94"/>
      <c r="I43" s="94"/>
      <c r="J43" s="94"/>
    </row>
    <row r="44" spans="1:10" ht="11.25" customHeight="1">
      <c r="B44" s="131"/>
      <c r="C44" s="131"/>
      <c r="D44" s="131"/>
      <c r="E44" s="131"/>
      <c r="H44" s="94"/>
      <c r="I44" s="94"/>
      <c r="J44" s="94"/>
    </row>
    <row r="45" spans="1:10" ht="13.5" thickBot="1">
      <c r="B45" s="131"/>
      <c r="C45" s="131"/>
      <c r="D45" s="131"/>
      <c r="E45" s="131"/>
      <c r="H45" s="94"/>
      <c r="I45" s="94"/>
      <c r="J45" s="94"/>
    </row>
    <row r="46" spans="1:10" s="105" customFormat="1" ht="21" customHeight="1" thickBot="1">
      <c r="A46" s="104"/>
      <c r="B46" s="615" t="s">
        <v>231</v>
      </c>
      <c r="C46" s="617"/>
      <c r="D46" s="468">
        <f>+D4</f>
        <v>41639</v>
      </c>
      <c r="E46" s="469">
        <f>+E4</f>
        <v>41274</v>
      </c>
      <c r="F46" s="92" t="s">
        <v>297</v>
      </c>
      <c r="G46" s="92" t="s">
        <v>298</v>
      </c>
      <c r="H46" s="94"/>
      <c r="I46" s="94"/>
      <c r="J46" s="94"/>
    </row>
    <row r="47" spans="1:10" s="107" customFormat="1" ht="18" customHeight="1" thickBot="1">
      <c r="A47" s="106"/>
      <c r="B47" s="616"/>
      <c r="C47" s="618"/>
      <c r="D47" s="214" t="s">
        <v>9</v>
      </c>
      <c r="E47" s="470" t="s">
        <v>9</v>
      </c>
      <c r="F47" s="85" t="s">
        <v>9</v>
      </c>
      <c r="G47" s="85" t="s">
        <v>9</v>
      </c>
      <c r="H47" s="94"/>
      <c r="I47" s="94"/>
      <c r="J47" s="94"/>
    </row>
    <row r="48" spans="1:10" s="107" customFormat="1" ht="8.25" customHeight="1" thickBot="1">
      <c r="A48" s="106"/>
      <c r="B48" s="471"/>
      <c r="C48" s="257"/>
      <c r="D48" s="257"/>
      <c r="E48" s="472"/>
      <c r="F48" s="108"/>
      <c r="G48" s="109"/>
      <c r="H48" s="94"/>
      <c r="I48" s="94"/>
      <c r="J48" s="94"/>
    </row>
    <row r="49" spans="1:10" s="107" customFormat="1" ht="15" customHeight="1" thickBot="1">
      <c r="A49" s="106"/>
      <c r="B49" s="473" t="s">
        <v>219</v>
      </c>
      <c r="C49" s="258"/>
      <c r="D49" s="215">
        <f>+D27</f>
        <v>118899800</v>
      </c>
      <c r="E49" s="474">
        <f>+E27</f>
        <v>121455759</v>
      </c>
      <c r="F49" s="86">
        <v>16326681</v>
      </c>
      <c r="G49" s="86">
        <v>18221980</v>
      </c>
      <c r="H49" s="94"/>
      <c r="I49" s="94"/>
      <c r="J49" s="94"/>
    </row>
    <row r="50" spans="1:10" s="107" customFormat="1" ht="8.25" customHeight="1" thickBot="1">
      <c r="A50" s="106"/>
      <c r="B50" s="484"/>
      <c r="C50" s="463"/>
      <c r="D50" s="485"/>
      <c r="E50" s="485"/>
      <c r="F50" s="110"/>
      <c r="G50" s="111"/>
      <c r="H50" s="94"/>
      <c r="I50" s="94"/>
      <c r="J50" s="94"/>
    </row>
    <row r="51" spans="1:10" s="107" customFormat="1" ht="26.25" customHeight="1" thickBot="1">
      <c r="A51" s="106"/>
      <c r="B51" s="619" t="s">
        <v>367</v>
      </c>
      <c r="C51" s="620"/>
      <c r="D51" s="620"/>
      <c r="E51" s="621"/>
      <c r="F51" s="84"/>
      <c r="G51" s="84"/>
      <c r="H51" s="94"/>
      <c r="I51" s="94"/>
      <c r="J51" s="94"/>
    </row>
    <row r="52" spans="1:10" s="107" customFormat="1" ht="13.5" customHeight="1" thickBot="1">
      <c r="A52" s="106"/>
      <c r="B52" s="471"/>
      <c r="C52" s="463"/>
      <c r="D52" s="463"/>
      <c r="E52" s="486"/>
      <c r="F52" s="112"/>
      <c r="G52" s="113"/>
      <c r="H52" s="94"/>
      <c r="I52" s="94"/>
      <c r="J52" s="94"/>
    </row>
    <row r="53" spans="1:10" s="107" customFormat="1" ht="13.5" customHeight="1" thickBot="1">
      <c r="A53" s="106"/>
      <c r="B53" s="622" t="s">
        <v>368</v>
      </c>
      <c r="C53" s="623"/>
      <c r="D53" s="623"/>
      <c r="E53" s="624"/>
      <c r="F53" s="112"/>
      <c r="G53" s="113"/>
      <c r="H53" s="94"/>
      <c r="I53" s="94"/>
      <c r="J53" s="94"/>
    </row>
    <row r="54" spans="1:10" s="107" customFormat="1" ht="13.5" customHeight="1" thickBot="1">
      <c r="A54" s="106"/>
      <c r="B54" s="487" t="s">
        <v>369</v>
      </c>
      <c r="C54" s="259"/>
      <c r="D54" s="224"/>
      <c r="E54" s="488">
        <f>+'[2]Estado de Resultado'!$E$35</f>
        <v>-480845</v>
      </c>
      <c r="F54" s="112"/>
      <c r="G54" s="113"/>
      <c r="H54" s="94"/>
      <c r="I54" s="94"/>
      <c r="J54" s="94"/>
    </row>
    <row r="55" spans="1:10" s="107" customFormat="1" ht="13.5" customHeight="1" thickBot="1">
      <c r="A55" s="106"/>
      <c r="B55" s="489" t="s">
        <v>370</v>
      </c>
      <c r="C55" s="490"/>
      <c r="D55" s="491"/>
      <c r="E55" s="492">
        <f>+E54</f>
        <v>-480845</v>
      </c>
      <c r="F55" s="112"/>
      <c r="G55" s="113"/>
      <c r="H55" s="94"/>
      <c r="I55" s="94"/>
      <c r="J55" s="94"/>
    </row>
    <row r="56" spans="1:10" s="107" customFormat="1" ht="13.5" customHeight="1" thickBot="1">
      <c r="A56" s="106"/>
      <c r="B56" s="487"/>
      <c r="C56" s="259"/>
      <c r="D56" s="224"/>
      <c r="E56" s="488"/>
      <c r="F56" s="112"/>
      <c r="G56" s="113"/>
      <c r="H56" s="94"/>
      <c r="I56" s="94"/>
      <c r="J56" s="94"/>
    </row>
    <row r="57" spans="1:10" s="107" customFormat="1" ht="13.5" customHeight="1" thickBot="1">
      <c r="A57" s="106"/>
      <c r="B57" s="473" t="s">
        <v>232</v>
      </c>
      <c r="C57" s="258"/>
      <c r="D57" s="215">
        <f>+D49</f>
        <v>118899800</v>
      </c>
      <c r="E57" s="474">
        <f>+E55+E49</f>
        <v>120974914</v>
      </c>
      <c r="F57" s="112"/>
      <c r="G57" s="113"/>
      <c r="H57" s="94"/>
      <c r="I57" s="94"/>
      <c r="J57" s="94"/>
    </row>
    <row r="58" spans="1:10" s="105" customFormat="1" ht="13.5" customHeight="1" thickBot="1">
      <c r="A58" s="104"/>
      <c r="B58" s="476" t="s">
        <v>233</v>
      </c>
      <c r="C58" s="260"/>
      <c r="D58" s="261"/>
      <c r="E58" s="477"/>
      <c r="F58" s="112"/>
      <c r="G58" s="113"/>
      <c r="H58" s="94"/>
      <c r="I58" s="94"/>
      <c r="J58" s="94"/>
    </row>
    <row r="59" spans="1:10" s="105" customFormat="1" ht="13.5" customHeight="1" thickBot="1">
      <c r="A59" s="104"/>
      <c r="B59" s="478" t="s">
        <v>234</v>
      </c>
      <c r="C59" s="258"/>
      <c r="D59" s="215">
        <f>+D25</f>
        <v>57647853</v>
      </c>
      <c r="E59" s="215">
        <v>59979299</v>
      </c>
      <c r="F59" s="112"/>
      <c r="G59" s="113"/>
      <c r="H59" s="94"/>
      <c r="I59" s="94"/>
      <c r="J59" s="94"/>
    </row>
    <row r="60" spans="1:10" s="105" customFormat="1" ht="26.25" customHeight="1" thickBot="1">
      <c r="A60" s="104"/>
      <c r="B60" s="479" t="s">
        <v>235</v>
      </c>
      <c r="C60" s="211">
        <v>4</v>
      </c>
      <c r="D60" s="212">
        <f>+D26</f>
        <v>61251947</v>
      </c>
      <c r="E60" s="475">
        <f>+'[2]Estado de Resultado'!$E$41</f>
        <v>60995615</v>
      </c>
      <c r="F60" s="112"/>
      <c r="G60" s="113"/>
      <c r="H60" s="94"/>
      <c r="I60" s="94"/>
      <c r="J60" s="94"/>
    </row>
    <row r="61" spans="1:10" s="105" customFormat="1" ht="26.25" customHeight="1" thickBot="1">
      <c r="A61" s="104"/>
      <c r="B61" s="480" t="s">
        <v>232</v>
      </c>
      <c r="C61" s="481"/>
      <c r="D61" s="482">
        <f>SUM(D59:D60)</f>
        <v>118899800</v>
      </c>
      <c r="E61" s="483">
        <f>SUM(E59:E60)</f>
        <v>120974914</v>
      </c>
      <c r="F61" s="114"/>
      <c r="G61" s="115"/>
      <c r="H61" s="94"/>
      <c r="I61" s="94"/>
      <c r="J61" s="94"/>
    </row>
    <row r="62" spans="1:10">
      <c r="D62" s="94"/>
      <c r="F62" s="94"/>
    </row>
    <row r="63" spans="1:10">
      <c r="D63" s="94"/>
      <c r="F63" s="94"/>
    </row>
    <row r="64" spans="1:10">
      <c r="D64" s="94"/>
      <c r="F64" s="94"/>
    </row>
  </sheetData>
  <mergeCells count="4">
    <mergeCell ref="B46:B47"/>
    <mergeCell ref="C46:C47"/>
    <mergeCell ref="B51:E51"/>
    <mergeCell ref="B53:E53"/>
  </mergeCells>
  <pageMargins left="0.48" right="0.70866141732283472" top="0.74803149606299213" bottom="0.74803149606299213" header="0.31496062992125984" footer="0.31496062992125984"/>
  <pageSetup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  <pageSetUpPr fitToPage="1"/>
  </sheetPr>
  <dimension ref="A1:J82"/>
  <sheetViews>
    <sheetView showGridLines="0" topLeftCell="A19" workbookViewId="0">
      <selection activeCell="J40" sqref="J40"/>
    </sheetView>
  </sheetViews>
  <sheetFormatPr baseColWidth="10" defaultRowHeight="12.75"/>
  <cols>
    <col min="1" max="1" width="7.42578125" style="118" customWidth="1"/>
    <col min="2" max="2" width="84.5703125" style="118" customWidth="1"/>
    <col min="3" max="3" width="7.5703125" style="117" customWidth="1"/>
    <col min="4" max="4" width="16.28515625" style="118" hidden="1" customWidth="1"/>
    <col min="5" max="5" width="16.5703125" style="118" hidden="1" customWidth="1"/>
    <col min="6" max="7" width="13.7109375" style="118" bestFit="1" customWidth="1"/>
    <col min="8" max="8" width="11.42578125" style="132"/>
    <col min="9" max="16384" width="11.42578125" style="118"/>
  </cols>
  <sheetData>
    <row r="1" spans="2:9">
      <c r="B1" s="116"/>
    </row>
    <row r="2" spans="2:9" ht="22.5" customHeight="1" thickBot="1"/>
    <row r="3" spans="2:9" ht="13.5" thickBot="1">
      <c r="B3" s="637" t="s">
        <v>236</v>
      </c>
      <c r="C3" s="639" t="s">
        <v>237</v>
      </c>
      <c r="D3" s="262"/>
      <c r="E3" s="262"/>
      <c r="F3" s="263">
        <v>41639</v>
      </c>
      <c r="G3" s="263">
        <v>41274</v>
      </c>
    </row>
    <row r="4" spans="2:9" ht="13.5" thickBot="1">
      <c r="B4" s="638"/>
      <c r="C4" s="640"/>
      <c r="D4" s="264" t="s">
        <v>238</v>
      </c>
      <c r="E4" s="264" t="s">
        <v>238</v>
      </c>
      <c r="F4" s="464" t="s">
        <v>9</v>
      </c>
      <c r="G4" s="265" t="s">
        <v>9</v>
      </c>
      <c r="H4" s="151" t="s">
        <v>84</v>
      </c>
    </row>
    <row r="5" spans="2:9" ht="18" customHeight="1" thickBot="1">
      <c r="B5" s="641" t="s">
        <v>239</v>
      </c>
      <c r="C5" s="642"/>
      <c r="D5" s="642"/>
      <c r="E5" s="642"/>
      <c r="F5" s="642"/>
      <c r="G5" s="643"/>
    </row>
    <row r="6" spans="2:9" s="119" customFormat="1" ht="18" customHeight="1" thickBot="1">
      <c r="B6" s="266" t="s">
        <v>240</v>
      </c>
      <c r="C6" s="267"/>
      <c r="D6" s="268">
        <v>125394214912</v>
      </c>
      <c r="E6" s="268">
        <v>111039717620.4024</v>
      </c>
      <c r="F6" s="268">
        <f>+'[2]Flujo '!D5</f>
        <v>463103771</v>
      </c>
      <c r="G6" s="268">
        <f>+'[2]Flujo '!E5</f>
        <v>447900610</v>
      </c>
      <c r="H6" s="461">
        <f>+(F6-G6)/1000</f>
        <v>15203.161</v>
      </c>
      <c r="I6" s="118"/>
    </row>
    <row r="7" spans="2:9" s="119" customFormat="1" ht="18" hidden="1" customHeight="1" thickBot="1">
      <c r="B7" s="266" t="s">
        <v>242</v>
      </c>
      <c r="C7" s="267"/>
      <c r="D7" s="268">
        <v>29553022</v>
      </c>
      <c r="E7" s="268">
        <v>87052224</v>
      </c>
      <c r="F7" s="268"/>
      <c r="G7" s="268"/>
      <c r="H7" s="133">
        <f t="shared" ref="H7:H69" si="0">+(F7-G7)/1000</f>
        <v>0</v>
      </c>
      <c r="I7" s="118"/>
    </row>
    <row r="8" spans="2:9" s="119" customFormat="1" ht="18" customHeight="1" thickBot="1">
      <c r="B8" s="266" t="s">
        <v>241</v>
      </c>
      <c r="C8" s="267"/>
      <c r="D8" s="268">
        <v>0</v>
      </c>
      <c r="E8" s="268">
        <v>0</v>
      </c>
      <c r="F8" s="268"/>
      <c r="G8" s="268"/>
      <c r="H8" s="133">
        <f t="shared" si="0"/>
        <v>0</v>
      </c>
      <c r="I8" s="118"/>
    </row>
    <row r="9" spans="2:9" s="119" customFormat="1" ht="18" customHeight="1" thickBot="1">
      <c r="B9" s="266" t="s">
        <v>243</v>
      </c>
      <c r="C9" s="267"/>
      <c r="D9" s="268">
        <v>46812419</v>
      </c>
      <c r="E9" s="268">
        <v>54151529</v>
      </c>
      <c r="F9" s="268">
        <f>+'[2]Flujo '!D8</f>
        <v>1602264</v>
      </c>
      <c r="G9" s="268">
        <f>+'[2]Flujo '!E8</f>
        <v>218176</v>
      </c>
      <c r="H9" s="133">
        <f t="shared" si="0"/>
        <v>1384.088</v>
      </c>
      <c r="I9" s="118"/>
    </row>
    <row r="10" spans="2:9" s="119" customFormat="1" ht="18" customHeight="1" thickBot="1">
      <c r="B10" s="266" t="s">
        <v>244</v>
      </c>
      <c r="C10" s="267"/>
      <c r="D10" s="268">
        <v>532893135</v>
      </c>
      <c r="E10" s="268">
        <v>500888416</v>
      </c>
      <c r="F10" s="268">
        <f>+'[2]Flujo '!D9</f>
        <v>2370302</v>
      </c>
      <c r="G10" s="268">
        <f>+'[2]Flujo '!E9</f>
        <v>3364838</v>
      </c>
      <c r="H10" s="133">
        <f t="shared" si="0"/>
        <v>-994.53599999999994</v>
      </c>
    </row>
    <row r="11" spans="2:9" s="119" customFormat="1" ht="18" hidden="1" customHeight="1" thickBot="1">
      <c r="B11" s="644" t="s">
        <v>245</v>
      </c>
      <c r="C11" s="645"/>
      <c r="D11" s="645"/>
      <c r="E11" s="645"/>
      <c r="F11" s="645"/>
      <c r="G11" s="646"/>
      <c r="H11" s="133"/>
    </row>
    <row r="12" spans="2:9" s="119" customFormat="1" ht="18" customHeight="1" thickBot="1">
      <c r="B12" s="266" t="s">
        <v>246</v>
      </c>
      <c r="C12" s="267"/>
      <c r="D12" s="268">
        <v>-29671975518</v>
      </c>
      <c r="E12" s="268">
        <v>-27829853516</v>
      </c>
      <c r="F12" s="268">
        <f>+'[2]Flujo '!D10</f>
        <v>-129712967</v>
      </c>
      <c r="G12" s="268">
        <f>+'[2]Flujo '!E10</f>
        <v>-121648828</v>
      </c>
      <c r="H12" s="502">
        <f t="shared" si="0"/>
        <v>-8064.1390000000001</v>
      </c>
    </row>
    <row r="13" spans="2:9" s="119" customFormat="1" ht="18" hidden="1" customHeight="1" thickBot="1">
      <c r="B13" s="266" t="s">
        <v>247</v>
      </c>
      <c r="C13" s="267"/>
      <c r="D13" s="268">
        <v>0</v>
      </c>
      <c r="E13" s="268">
        <v>0</v>
      </c>
      <c r="F13" s="268"/>
      <c r="G13" s="268"/>
      <c r="H13" s="133">
        <f t="shared" si="0"/>
        <v>0</v>
      </c>
    </row>
    <row r="14" spans="2:9" s="119" customFormat="1" ht="18" customHeight="1" thickBot="1">
      <c r="B14" s="266" t="s">
        <v>248</v>
      </c>
      <c r="C14" s="267"/>
      <c r="D14" s="268">
        <v>-12474545924</v>
      </c>
      <c r="E14" s="268">
        <v>-11664493353</v>
      </c>
      <c r="F14" s="268">
        <f>+'[2]Flujo '!D12</f>
        <v>-40862248</v>
      </c>
      <c r="G14" s="268">
        <f>+'[2]Flujo '!E12</f>
        <v>-40776422</v>
      </c>
      <c r="H14" s="133">
        <f t="shared" si="0"/>
        <v>-85.825999999999993</v>
      </c>
    </row>
    <row r="15" spans="2:9" s="119" customFormat="1" ht="18" customHeight="1" thickBot="1">
      <c r="B15" s="266" t="s">
        <v>249</v>
      </c>
      <c r="C15" s="269"/>
      <c r="D15" s="268">
        <v>-40356920</v>
      </c>
      <c r="E15" s="268">
        <v>-3629207</v>
      </c>
      <c r="F15" s="268">
        <f>+'[2]Flujo '!D13</f>
        <v>-497783</v>
      </c>
      <c r="G15" s="268">
        <f>+'[2]Flujo '!E13</f>
        <v>-2381745</v>
      </c>
      <c r="H15" s="461">
        <f t="shared" si="0"/>
        <v>1883.962</v>
      </c>
      <c r="I15" s="118"/>
    </row>
    <row r="16" spans="2:9" s="119" customFormat="1" ht="18" customHeight="1" thickBot="1">
      <c r="B16" s="266" t="s">
        <v>250</v>
      </c>
      <c r="C16" s="267"/>
      <c r="D16" s="268">
        <v>-11838137096</v>
      </c>
      <c r="E16" s="268">
        <v>-11328302524</v>
      </c>
      <c r="F16" s="268">
        <f>+'[2]Flujo '!D14</f>
        <v>-42234113</v>
      </c>
      <c r="G16" s="268">
        <f>+'[2]Flujo '!E14</f>
        <v>-42893571</v>
      </c>
      <c r="H16" s="133">
        <f t="shared" si="0"/>
        <v>659.45799999999997</v>
      </c>
      <c r="I16" s="118"/>
    </row>
    <row r="17" spans="2:10" s="119" customFormat="1" ht="18" hidden="1" customHeight="1" thickBot="1">
      <c r="B17" s="266" t="s">
        <v>251</v>
      </c>
      <c r="C17" s="267"/>
      <c r="D17" s="268">
        <v>0</v>
      </c>
      <c r="E17" s="268">
        <v>0</v>
      </c>
      <c r="F17" s="268"/>
      <c r="G17" s="268"/>
      <c r="H17" s="133">
        <f t="shared" si="0"/>
        <v>0</v>
      </c>
    </row>
    <row r="18" spans="2:10" s="119" customFormat="1" ht="18" hidden="1" customHeight="1" thickBot="1">
      <c r="B18" s="266" t="s">
        <v>252</v>
      </c>
      <c r="C18" s="267"/>
      <c r="D18" s="268">
        <v>0</v>
      </c>
      <c r="E18" s="268">
        <v>0</v>
      </c>
      <c r="F18" s="268"/>
      <c r="G18" s="268"/>
      <c r="H18" s="133">
        <f t="shared" si="0"/>
        <v>0</v>
      </c>
    </row>
    <row r="19" spans="2:10" s="119" customFormat="1" ht="18" customHeight="1" thickBot="1">
      <c r="B19" s="266" t="s">
        <v>253</v>
      </c>
      <c r="C19" s="267"/>
      <c r="D19" s="268">
        <v>-3685818487</v>
      </c>
      <c r="E19" s="268">
        <v>-5137079422</v>
      </c>
      <c r="F19" s="268">
        <f>+'[2]Flujo '!D17</f>
        <v>-20846867</v>
      </c>
      <c r="G19" s="268">
        <f>+'[2]Flujo '!E17</f>
        <v>-14858268</v>
      </c>
      <c r="H19" s="502">
        <f t="shared" si="0"/>
        <v>-5988.5990000000002</v>
      </c>
    </row>
    <row r="20" spans="2:10" s="119" customFormat="1" ht="18" customHeight="1" thickBot="1">
      <c r="B20" s="266" t="s">
        <v>254</v>
      </c>
      <c r="C20" s="267"/>
      <c r="D20" s="268">
        <v>404703651</v>
      </c>
      <c r="E20" s="268">
        <v>57149333</v>
      </c>
      <c r="F20" s="268">
        <f>+'[2]Flujo '!D18</f>
        <v>2774606</v>
      </c>
      <c r="G20" s="268">
        <f>+'[2]Flujo '!E18</f>
        <v>3500396</v>
      </c>
      <c r="H20" s="133">
        <f t="shared" si="0"/>
        <v>-725.79</v>
      </c>
    </row>
    <row r="21" spans="2:10" s="119" customFormat="1" ht="18" customHeight="1" thickBot="1">
      <c r="B21" s="266" t="s">
        <v>255</v>
      </c>
      <c r="C21" s="267"/>
      <c r="D21" s="268">
        <v>-8999279951</v>
      </c>
      <c r="E21" s="268">
        <v>-8936102428.0529995</v>
      </c>
      <c r="F21" s="268">
        <f>+'[2]Flujo '!D19</f>
        <v>-31140125</v>
      </c>
      <c r="G21" s="268">
        <f>+'[2]Flujo '!E19</f>
        <v>-27784327</v>
      </c>
      <c r="H21" s="502">
        <f t="shared" si="0"/>
        <v>-3355.7979999999998</v>
      </c>
      <c r="J21" s="462"/>
    </row>
    <row r="22" spans="2:10" s="119" customFormat="1" ht="18" customHeight="1" thickBot="1">
      <c r="B22" s="266" t="s">
        <v>256</v>
      </c>
      <c r="C22" s="267"/>
      <c r="D22" s="268">
        <v>-226252944</v>
      </c>
      <c r="E22" s="268">
        <v>-1146628457</v>
      </c>
      <c r="F22" s="268">
        <f>+'[2]Flujo '!D20</f>
        <v>-1964303</v>
      </c>
      <c r="G22" s="268">
        <f>+'[2]Flujo '!E20</f>
        <v>-1940233</v>
      </c>
      <c r="H22" s="133">
        <f t="shared" si="0"/>
        <v>-24.07</v>
      </c>
      <c r="J22" s="462"/>
    </row>
    <row r="23" spans="2:10" s="119" customFormat="1" ht="18" customHeight="1" thickBot="1">
      <c r="B23" s="270" t="s">
        <v>136</v>
      </c>
      <c r="C23" s="271"/>
      <c r="D23" s="272">
        <f>SUM(D6:D22)</f>
        <v>59471810299</v>
      </c>
      <c r="E23" s="272">
        <f>SUM(E6:E22)</f>
        <v>45692870215.349403</v>
      </c>
      <c r="F23" s="272">
        <f>SUM(F6:F22)</f>
        <v>202592537</v>
      </c>
      <c r="G23" s="272">
        <f>SUM(G6:G22)</f>
        <v>202700626</v>
      </c>
      <c r="H23" s="133">
        <f t="shared" si="0"/>
        <v>-108.089</v>
      </c>
      <c r="J23" s="462"/>
    </row>
    <row r="24" spans="2:10" s="119" customFormat="1" ht="18.75" hidden="1" customHeight="1" thickBot="1">
      <c r="B24" s="625"/>
      <c r="C24" s="626"/>
      <c r="D24" s="626"/>
      <c r="E24" s="626"/>
      <c r="F24" s="626"/>
      <c r="G24" s="627"/>
      <c r="H24" s="133"/>
    </row>
    <row r="25" spans="2:10" s="119" customFormat="1" ht="18" hidden="1" customHeight="1" thickBot="1">
      <c r="B25" s="266" t="s">
        <v>257</v>
      </c>
      <c r="C25" s="267"/>
      <c r="D25" s="268">
        <v>0</v>
      </c>
      <c r="E25" s="268">
        <v>0</v>
      </c>
      <c r="F25" s="273">
        <f t="shared" ref="F25:G32" si="1">+D25/1000</f>
        <v>0</v>
      </c>
      <c r="G25" s="273">
        <f t="shared" si="1"/>
        <v>0</v>
      </c>
      <c r="H25" s="133">
        <f t="shared" si="0"/>
        <v>0</v>
      </c>
    </row>
    <row r="26" spans="2:10" s="119" customFormat="1" ht="18" hidden="1" customHeight="1" thickBot="1">
      <c r="B26" s="266" t="s">
        <v>258</v>
      </c>
      <c r="C26" s="267"/>
      <c r="D26" s="268">
        <v>0</v>
      </c>
      <c r="E26" s="268">
        <v>0</v>
      </c>
      <c r="F26" s="273">
        <f t="shared" si="1"/>
        <v>0</v>
      </c>
      <c r="G26" s="273">
        <f t="shared" si="1"/>
        <v>0</v>
      </c>
      <c r="H26" s="133">
        <f t="shared" si="0"/>
        <v>0</v>
      </c>
    </row>
    <row r="27" spans="2:10" s="119" customFormat="1" ht="18" hidden="1" customHeight="1" thickBot="1">
      <c r="B27" s="266" t="s">
        <v>259</v>
      </c>
      <c r="C27" s="267"/>
      <c r="D27" s="268">
        <v>0</v>
      </c>
      <c r="E27" s="268">
        <v>0</v>
      </c>
      <c r="F27" s="273">
        <f t="shared" si="1"/>
        <v>0</v>
      </c>
      <c r="G27" s="273">
        <f t="shared" si="1"/>
        <v>0</v>
      </c>
      <c r="H27" s="133">
        <f t="shared" si="0"/>
        <v>0</v>
      </c>
    </row>
    <row r="28" spans="2:10" s="119" customFormat="1" ht="18" hidden="1" customHeight="1" thickBot="1">
      <c r="B28" s="266" t="s">
        <v>260</v>
      </c>
      <c r="C28" s="267"/>
      <c r="D28" s="268">
        <v>0</v>
      </c>
      <c r="E28" s="268">
        <v>0</v>
      </c>
      <c r="F28" s="273">
        <f t="shared" si="1"/>
        <v>0</v>
      </c>
      <c r="G28" s="273">
        <f t="shared" si="1"/>
        <v>0</v>
      </c>
      <c r="H28" s="133">
        <f t="shared" si="0"/>
        <v>0</v>
      </c>
    </row>
    <row r="29" spans="2:10" s="119" customFormat="1" ht="18" hidden="1" customHeight="1" thickBot="1">
      <c r="B29" s="266" t="s">
        <v>261</v>
      </c>
      <c r="C29" s="267"/>
      <c r="D29" s="268">
        <v>0</v>
      </c>
      <c r="E29" s="268">
        <v>0</v>
      </c>
      <c r="F29" s="273">
        <f t="shared" si="1"/>
        <v>0</v>
      </c>
      <c r="G29" s="273">
        <f t="shared" si="1"/>
        <v>0</v>
      </c>
      <c r="H29" s="133">
        <f t="shared" si="0"/>
        <v>0</v>
      </c>
    </row>
    <row r="30" spans="2:10" s="119" customFormat="1" ht="18" hidden="1" customHeight="1" thickBot="1">
      <c r="B30" s="266" t="s">
        <v>262</v>
      </c>
      <c r="C30" s="267"/>
      <c r="D30" s="268">
        <v>0</v>
      </c>
      <c r="E30" s="268">
        <v>0</v>
      </c>
      <c r="F30" s="273">
        <f t="shared" si="1"/>
        <v>0</v>
      </c>
      <c r="G30" s="273">
        <f t="shared" si="1"/>
        <v>0</v>
      </c>
      <c r="H30" s="133">
        <f t="shared" si="0"/>
        <v>0</v>
      </c>
    </row>
    <row r="31" spans="2:10" s="119" customFormat="1" ht="18" hidden="1" customHeight="1" thickBot="1">
      <c r="B31" s="266" t="s">
        <v>263</v>
      </c>
      <c r="C31" s="267"/>
      <c r="D31" s="268">
        <v>0</v>
      </c>
      <c r="E31" s="268">
        <v>0</v>
      </c>
      <c r="F31" s="273">
        <f t="shared" si="1"/>
        <v>0</v>
      </c>
      <c r="G31" s="273">
        <f t="shared" si="1"/>
        <v>0</v>
      </c>
      <c r="H31" s="133">
        <f t="shared" si="0"/>
        <v>0</v>
      </c>
    </row>
    <row r="32" spans="2:10" s="119" customFormat="1" ht="18" hidden="1" customHeight="1" thickBot="1">
      <c r="B32" s="266" t="s">
        <v>264</v>
      </c>
      <c r="C32" s="267"/>
      <c r="D32" s="268">
        <v>0</v>
      </c>
      <c r="E32" s="268">
        <v>0</v>
      </c>
      <c r="F32" s="273">
        <f t="shared" si="1"/>
        <v>0</v>
      </c>
      <c r="G32" s="273">
        <f t="shared" si="1"/>
        <v>0</v>
      </c>
      <c r="H32" s="133">
        <f t="shared" si="0"/>
        <v>0</v>
      </c>
    </row>
    <row r="33" spans="2:10" s="119" customFormat="1" ht="18" customHeight="1" thickBot="1">
      <c r="B33" s="266" t="s">
        <v>265</v>
      </c>
      <c r="C33" s="267"/>
      <c r="D33" s="268">
        <v>195217233</v>
      </c>
      <c r="E33" s="268">
        <v>29828261</v>
      </c>
      <c r="F33" s="273">
        <f>+'[2]Flujo '!D22</f>
        <v>25502</v>
      </c>
      <c r="G33" s="273">
        <f>+'[2]Flujo '!E22</f>
        <v>366659</v>
      </c>
      <c r="H33" s="133">
        <f t="shared" si="0"/>
        <v>-341.15699999999998</v>
      </c>
      <c r="J33" s="462"/>
    </row>
    <row r="34" spans="2:10" s="119" customFormat="1" ht="18" customHeight="1" thickBot="1">
      <c r="B34" s="266" t="s">
        <v>266</v>
      </c>
      <c r="C34" s="267"/>
      <c r="D34" s="268">
        <v>-29446099909</v>
      </c>
      <c r="E34" s="268">
        <v>-21783530578.310001</v>
      </c>
      <c r="F34" s="268">
        <f>+'[2]Flujo '!D23</f>
        <v>-116823900</v>
      </c>
      <c r="G34" s="268">
        <f>+'[2]Flujo '!E23</f>
        <v>-97590330</v>
      </c>
      <c r="H34" s="133">
        <f t="shared" si="0"/>
        <v>-19233.57</v>
      </c>
    </row>
    <row r="35" spans="2:10" s="119" customFormat="1" ht="18" hidden="1" customHeight="1" thickBot="1">
      <c r="B35" s="266" t="s">
        <v>267</v>
      </c>
      <c r="C35" s="267"/>
      <c r="D35" s="268">
        <v>0</v>
      </c>
      <c r="E35" s="268">
        <v>0</v>
      </c>
      <c r="F35" s="268"/>
      <c r="G35" s="268"/>
      <c r="H35" s="133">
        <f t="shared" si="0"/>
        <v>0</v>
      </c>
    </row>
    <row r="36" spans="2:10" s="119" customFormat="1" ht="18" customHeight="1" thickBot="1">
      <c r="B36" s="266" t="s">
        <v>268</v>
      </c>
      <c r="C36" s="267"/>
      <c r="D36" s="268">
        <v>-5000000</v>
      </c>
      <c r="E36" s="268">
        <v>-38296528</v>
      </c>
      <c r="F36" s="268">
        <f>+'[2]Flujo '!D25</f>
        <v>-191274</v>
      </c>
      <c r="G36" s="268">
        <f>+'[2]Flujo '!E25</f>
        <v>-345465</v>
      </c>
      <c r="H36" s="133">
        <f t="shared" si="0"/>
        <v>154.191</v>
      </c>
    </row>
    <row r="37" spans="2:10" s="119" customFormat="1" ht="18" hidden="1" customHeight="1" thickBot="1">
      <c r="B37" s="266" t="s">
        <v>269</v>
      </c>
      <c r="C37" s="267"/>
      <c r="D37" s="268">
        <v>0</v>
      </c>
      <c r="E37" s="268">
        <v>0</v>
      </c>
      <c r="F37" s="268"/>
      <c r="G37" s="268"/>
      <c r="H37" s="133">
        <f t="shared" si="0"/>
        <v>0</v>
      </c>
    </row>
    <row r="38" spans="2:10" s="119" customFormat="1" ht="18" hidden="1" customHeight="1" thickBot="1">
      <c r="B38" s="266" t="s">
        <v>270</v>
      </c>
      <c r="C38" s="267"/>
      <c r="D38" s="268">
        <v>0</v>
      </c>
      <c r="E38" s="268">
        <v>0</v>
      </c>
      <c r="F38" s="268"/>
      <c r="G38" s="268"/>
      <c r="H38" s="133">
        <f t="shared" si="0"/>
        <v>0</v>
      </c>
    </row>
    <row r="39" spans="2:10" s="119" customFormat="1" ht="18" hidden="1" customHeight="1" thickBot="1">
      <c r="B39" s="266" t="s">
        <v>271</v>
      </c>
      <c r="C39" s="267"/>
      <c r="D39" s="268">
        <v>0</v>
      </c>
      <c r="E39" s="268">
        <v>0</v>
      </c>
      <c r="F39" s="268"/>
      <c r="G39" s="268"/>
      <c r="H39" s="133">
        <f t="shared" si="0"/>
        <v>0</v>
      </c>
    </row>
    <row r="40" spans="2:10" s="119" customFormat="1" ht="18" hidden="1" customHeight="1" thickBot="1">
      <c r="B40" s="266" t="s">
        <v>272</v>
      </c>
      <c r="C40" s="267"/>
      <c r="D40" s="268">
        <v>0</v>
      </c>
      <c r="E40" s="268">
        <v>0</v>
      </c>
      <c r="F40" s="268"/>
      <c r="G40" s="268"/>
      <c r="H40" s="133">
        <f t="shared" si="0"/>
        <v>0</v>
      </c>
    </row>
    <row r="41" spans="2:10" s="119" customFormat="1" ht="18" hidden="1" customHeight="1" thickBot="1">
      <c r="B41" s="266" t="s">
        <v>273</v>
      </c>
      <c r="C41" s="267"/>
      <c r="D41" s="268">
        <v>0</v>
      </c>
      <c r="E41" s="268">
        <v>0</v>
      </c>
      <c r="F41" s="268"/>
      <c r="G41" s="268"/>
      <c r="H41" s="133">
        <f t="shared" si="0"/>
        <v>0</v>
      </c>
    </row>
    <row r="42" spans="2:10" s="119" customFormat="1" ht="18" hidden="1" customHeight="1" thickBot="1">
      <c r="B42" s="266" t="s">
        <v>274</v>
      </c>
      <c r="C42" s="267"/>
      <c r="D42" s="268">
        <v>0</v>
      </c>
      <c r="E42" s="268">
        <v>0</v>
      </c>
      <c r="F42" s="268"/>
      <c r="G42" s="268"/>
      <c r="H42" s="133">
        <f t="shared" si="0"/>
        <v>0</v>
      </c>
    </row>
    <row r="43" spans="2:10" s="119" customFormat="1" ht="18" hidden="1" customHeight="1" thickBot="1">
      <c r="B43" s="266" t="s">
        <v>275</v>
      </c>
      <c r="C43" s="267"/>
      <c r="D43" s="268">
        <v>0</v>
      </c>
      <c r="E43" s="268">
        <v>0</v>
      </c>
      <c r="F43" s="268"/>
      <c r="G43" s="268"/>
      <c r="H43" s="133">
        <f t="shared" si="0"/>
        <v>0</v>
      </c>
    </row>
    <row r="44" spans="2:10" s="119" customFormat="1" ht="18" hidden="1" customHeight="1" thickBot="1">
      <c r="B44" s="266" t="s">
        <v>256</v>
      </c>
      <c r="C44" s="267"/>
      <c r="D44" s="268">
        <v>0</v>
      </c>
      <c r="E44" s="268">
        <v>0</v>
      </c>
      <c r="F44" s="268"/>
      <c r="G44" s="268"/>
      <c r="H44" s="133">
        <f t="shared" si="0"/>
        <v>0</v>
      </c>
    </row>
    <row r="45" spans="2:10" s="119" customFormat="1" ht="13.5" hidden="1" customHeight="1" thickBot="1">
      <c r="B45" s="274" t="s">
        <v>252</v>
      </c>
      <c r="C45" s="267"/>
      <c r="D45" s="268">
        <v>0</v>
      </c>
      <c r="E45" s="268">
        <v>0</v>
      </c>
      <c r="F45" s="268"/>
      <c r="G45" s="268"/>
      <c r="H45" s="133">
        <f t="shared" si="0"/>
        <v>0</v>
      </c>
    </row>
    <row r="46" spans="2:10" s="119" customFormat="1" ht="18" hidden="1" customHeight="1" thickBot="1">
      <c r="B46" s="274" t="s">
        <v>254</v>
      </c>
      <c r="C46" s="267"/>
      <c r="D46" s="268">
        <v>0</v>
      </c>
      <c r="E46" s="268">
        <v>0</v>
      </c>
      <c r="F46" s="268"/>
      <c r="G46" s="268"/>
      <c r="H46" s="133">
        <f t="shared" si="0"/>
        <v>0</v>
      </c>
    </row>
    <row r="47" spans="2:10" s="119" customFormat="1" ht="13.5" hidden="1" customHeight="1" thickBot="1">
      <c r="B47" s="266" t="s">
        <v>276</v>
      </c>
      <c r="C47" s="267"/>
      <c r="D47" s="268">
        <v>0</v>
      </c>
      <c r="E47" s="268">
        <v>0</v>
      </c>
      <c r="F47" s="268"/>
      <c r="G47" s="268"/>
      <c r="H47" s="133">
        <f t="shared" si="0"/>
        <v>0</v>
      </c>
    </row>
    <row r="48" spans="2:10" s="119" customFormat="1" ht="18" customHeight="1" thickBot="1">
      <c r="B48" s="266" t="s">
        <v>277</v>
      </c>
      <c r="C48" s="267"/>
      <c r="D48" s="268">
        <v>-3159839220</v>
      </c>
      <c r="E48" s="268">
        <v>0</v>
      </c>
      <c r="F48" s="273">
        <f>+'[2]Flujo '!D37</f>
        <v>-2039585</v>
      </c>
      <c r="G48" s="273">
        <f>+'[2]Flujo '!E37</f>
        <v>-7800063</v>
      </c>
      <c r="H48" s="133">
        <f t="shared" si="0"/>
        <v>5760.4780000000001</v>
      </c>
    </row>
    <row r="49" spans="2:8" s="119" customFormat="1" ht="18" customHeight="1" thickBot="1">
      <c r="B49" s="270" t="s">
        <v>135</v>
      </c>
      <c r="C49" s="271"/>
      <c r="D49" s="272">
        <f>SUM(D27:D48)</f>
        <v>-32415721896</v>
      </c>
      <c r="E49" s="272">
        <f>SUM(E27:E48)</f>
        <v>-21791998845.310001</v>
      </c>
      <c r="F49" s="272">
        <f>SUM(F27:F48)</f>
        <v>-119029257</v>
      </c>
      <c r="G49" s="272">
        <f>SUM(G25:G48)</f>
        <v>-105369199</v>
      </c>
      <c r="H49" s="133">
        <f t="shared" si="0"/>
        <v>-13660.058000000001</v>
      </c>
    </row>
    <row r="50" spans="2:8" s="119" customFormat="1" ht="6.75" hidden="1" customHeight="1" thickBot="1">
      <c r="B50" s="625"/>
      <c r="C50" s="626"/>
      <c r="D50" s="626"/>
      <c r="E50" s="626"/>
      <c r="F50" s="626"/>
      <c r="G50" s="627"/>
      <c r="H50" s="133"/>
    </row>
    <row r="51" spans="2:8" s="119" customFormat="1" ht="18" hidden="1" customHeight="1" thickBot="1">
      <c r="B51" s="266" t="s">
        <v>278</v>
      </c>
      <c r="C51" s="267"/>
      <c r="D51" s="268">
        <v>0</v>
      </c>
      <c r="E51" s="268">
        <v>0</v>
      </c>
      <c r="F51" s="273">
        <f t="shared" ref="F51:G54" si="2">+D51/1000</f>
        <v>0</v>
      </c>
      <c r="G51" s="273">
        <f t="shared" si="2"/>
        <v>0</v>
      </c>
      <c r="H51" s="133">
        <f t="shared" si="0"/>
        <v>0</v>
      </c>
    </row>
    <row r="52" spans="2:8" s="119" customFormat="1" ht="18" hidden="1" customHeight="1" thickBot="1">
      <c r="B52" s="266" t="s">
        <v>279</v>
      </c>
      <c r="C52" s="267"/>
      <c r="D52" s="268">
        <v>0</v>
      </c>
      <c r="E52" s="268">
        <v>0</v>
      </c>
      <c r="F52" s="273">
        <f t="shared" si="2"/>
        <v>0</v>
      </c>
      <c r="G52" s="273">
        <f t="shared" si="2"/>
        <v>0</v>
      </c>
      <c r="H52" s="133">
        <f t="shared" si="0"/>
        <v>0</v>
      </c>
    </row>
    <row r="53" spans="2:8" s="119" customFormat="1" ht="18" hidden="1" customHeight="1" thickBot="1">
      <c r="B53" s="266" t="s">
        <v>280</v>
      </c>
      <c r="C53" s="267"/>
      <c r="D53" s="268">
        <v>0</v>
      </c>
      <c r="E53" s="268">
        <v>0</v>
      </c>
      <c r="F53" s="273">
        <f t="shared" si="2"/>
        <v>0</v>
      </c>
      <c r="G53" s="273">
        <f t="shared" si="2"/>
        <v>0</v>
      </c>
      <c r="H53" s="133">
        <f t="shared" si="0"/>
        <v>0</v>
      </c>
    </row>
    <row r="54" spans="2:8" s="119" customFormat="1" ht="18" hidden="1" customHeight="1" thickBot="1">
      <c r="B54" s="266" t="s">
        <v>281</v>
      </c>
      <c r="C54" s="267"/>
      <c r="D54" s="268">
        <v>0</v>
      </c>
      <c r="E54" s="268">
        <v>0</v>
      </c>
      <c r="F54" s="273">
        <f t="shared" si="2"/>
        <v>0</v>
      </c>
      <c r="G54" s="273">
        <f t="shared" si="2"/>
        <v>0</v>
      </c>
      <c r="H54" s="133">
        <f t="shared" si="0"/>
        <v>0</v>
      </c>
    </row>
    <row r="55" spans="2:8" s="119" customFormat="1" ht="18" customHeight="1" thickBot="1">
      <c r="B55" s="275" t="s">
        <v>282</v>
      </c>
      <c r="C55" s="267"/>
      <c r="D55" s="268">
        <v>39938921804</v>
      </c>
      <c r="E55" s="268">
        <v>1281630268</v>
      </c>
      <c r="F55" s="268">
        <f>+'[2]Flujo '!D43</f>
        <v>50933592</v>
      </c>
      <c r="G55" s="268">
        <f>+'[2]Flujo '!E43</f>
        <v>135805272</v>
      </c>
      <c r="H55" s="133">
        <f t="shared" si="0"/>
        <v>-84871.679999999993</v>
      </c>
    </row>
    <row r="56" spans="2:8" s="119" customFormat="1" ht="18" customHeight="1" thickBot="1">
      <c r="B56" s="275" t="s">
        <v>283</v>
      </c>
      <c r="C56" s="267"/>
      <c r="D56" s="268">
        <v>2814985114</v>
      </c>
      <c r="E56" s="268">
        <v>3952182137</v>
      </c>
      <c r="F56" s="268">
        <f>+'[2]Flujo '!D44</f>
        <v>0</v>
      </c>
      <c r="G56" s="268">
        <f>+'[2]Flujo '!E44</f>
        <v>3168591</v>
      </c>
      <c r="H56" s="133">
        <f t="shared" si="0"/>
        <v>-3168.5909999999999</v>
      </c>
    </row>
    <row r="57" spans="2:8" s="119" customFormat="1" ht="18" hidden="1" customHeight="1" thickBot="1">
      <c r="B57" s="276" t="s">
        <v>284</v>
      </c>
      <c r="C57" s="269"/>
      <c r="D57" s="277">
        <f>SUM(D51:D56)</f>
        <v>42753906918</v>
      </c>
      <c r="E57" s="277">
        <f>SUM(E51:E56)</f>
        <v>5233812405</v>
      </c>
      <c r="F57" s="277">
        <f>+F56+F55</f>
        <v>50933592</v>
      </c>
      <c r="G57" s="277">
        <f>+G56+G55</f>
        <v>138973863</v>
      </c>
      <c r="H57" s="133">
        <f t="shared" si="0"/>
        <v>-88040.270999999993</v>
      </c>
    </row>
    <row r="58" spans="2:8" s="119" customFormat="1" ht="18" hidden="1" customHeight="1" thickBot="1">
      <c r="B58" s="266" t="s">
        <v>285</v>
      </c>
      <c r="C58" s="267"/>
      <c r="D58" s="268">
        <v>0</v>
      </c>
      <c r="E58" s="268">
        <v>0</v>
      </c>
      <c r="F58" s="273"/>
      <c r="G58" s="273"/>
      <c r="H58" s="133">
        <f t="shared" si="0"/>
        <v>0</v>
      </c>
    </row>
    <row r="59" spans="2:8" s="119" customFormat="1" ht="18" customHeight="1" thickBot="1">
      <c r="B59" s="266" t="s">
        <v>286</v>
      </c>
      <c r="C59" s="267"/>
      <c r="D59" s="268">
        <v>-17891680809</v>
      </c>
      <c r="E59" s="268">
        <v>-6369263601</v>
      </c>
      <c r="F59" s="268">
        <f>+'[2]Flujo '!D47</f>
        <v>-43700509</v>
      </c>
      <c r="G59" s="268">
        <f>+'[2]Flujo '!E47</f>
        <v>-90191909</v>
      </c>
      <c r="H59" s="133">
        <f t="shared" si="0"/>
        <v>46491.4</v>
      </c>
    </row>
    <row r="60" spans="2:8" s="119" customFormat="1" ht="18" hidden="1" customHeight="1" thickBot="1">
      <c r="B60" s="266" t="s">
        <v>287</v>
      </c>
      <c r="C60" s="267"/>
      <c r="D60" s="268">
        <v>0</v>
      </c>
      <c r="E60" s="268">
        <v>0</v>
      </c>
      <c r="F60" s="268"/>
      <c r="G60" s="268"/>
      <c r="H60" s="133">
        <f t="shared" si="0"/>
        <v>0</v>
      </c>
    </row>
    <row r="61" spans="2:8" s="119" customFormat="1" ht="18" hidden="1" customHeight="1" thickBot="1">
      <c r="B61" s="278" t="s">
        <v>288</v>
      </c>
      <c r="C61" s="267"/>
      <c r="D61" s="268">
        <v>0</v>
      </c>
      <c r="E61" s="268">
        <v>0</v>
      </c>
      <c r="F61" s="268"/>
      <c r="G61" s="268"/>
      <c r="H61" s="133">
        <f t="shared" si="0"/>
        <v>0</v>
      </c>
    </row>
    <row r="62" spans="2:8" s="119" customFormat="1" ht="18" hidden="1" customHeight="1" thickBot="1">
      <c r="B62" s="266" t="s">
        <v>271</v>
      </c>
      <c r="C62" s="267"/>
      <c r="D62" s="268">
        <v>0</v>
      </c>
      <c r="E62" s="268">
        <v>0</v>
      </c>
      <c r="F62" s="268"/>
      <c r="G62" s="268"/>
      <c r="H62" s="133">
        <f t="shared" si="0"/>
        <v>0</v>
      </c>
    </row>
    <row r="63" spans="2:8" s="119" customFormat="1" ht="18" customHeight="1" thickBot="1">
      <c r="B63" s="266" t="s">
        <v>251</v>
      </c>
      <c r="C63" s="267"/>
      <c r="D63" s="268">
        <v>0</v>
      </c>
      <c r="E63" s="268">
        <v>0</v>
      </c>
      <c r="F63" s="268">
        <f>+'[2]Flujo '!D51</f>
        <v>-87498985</v>
      </c>
      <c r="G63" s="268">
        <f>+'[2]Flujo '!E51</f>
        <v>-114608604</v>
      </c>
      <c r="H63" s="133">
        <f t="shared" si="0"/>
        <v>27109.618999999999</v>
      </c>
    </row>
    <row r="64" spans="2:8" s="119" customFormat="1" ht="18" hidden="1" customHeight="1" thickBot="1">
      <c r="B64" s="266" t="s">
        <v>253</v>
      </c>
      <c r="C64" s="267"/>
      <c r="D64" s="268">
        <v>0</v>
      </c>
      <c r="E64" s="268">
        <v>0</v>
      </c>
      <c r="F64" s="268"/>
      <c r="G64" s="268"/>
      <c r="H64" s="133">
        <f t="shared" si="0"/>
        <v>0</v>
      </c>
    </row>
    <row r="65" spans="1:8" s="119" customFormat="1" ht="18" hidden="1" customHeight="1" thickBot="1">
      <c r="B65" s="266" t="s">
        <v>276</v>
      </c>
      <c r="C65" s="267"/>
      <c r="D65" s="268">
        <v>0</v>
      </c>
      <c r="E65" s="268">
        <v>0</v>
      </c>
      <c r="F65" s="268"/>
      <c r="G65" s="268"/>
      <c r="H65" s="133">
        <f t="shared" si="0"/>
        <v>0</v>
      </c>
    </row>
    <row r="66" spans="1:8" s="119" customFormat="1" ht="18" customHeight="1" thickBot="1">
      <c r="B66" s="266" t="s">
        <v>277</v>
      </c>
      <c r="C66" s="267"/>
      <c r="D66" s="268">
        <v>-249988835</v>
      </c>
      <c r="E66" s="268">
        <v>0</v>
      </c>
      <c r="F66" s="268">
        <f>+'[2]Flujo '!D54</f>
        <v>-204845</v>
      </c>
      <c r="G66" s="268">
        <f>+'[2]Flujo '!E54</f>
        <v>-851305</v>
      </c>
      <c r="H66" s="133">
        <f t="shared" si="0"/>
        <v>646.46</v>
      </c>
    </row>
    <row r="67" spans="1:8" s="119" customFormat="1" ht="18" customHeight="1" thickBot="1">
      <c r="B67" s="270" t="s">
        <v>134</v>
      </c>
      <c r="C67" s="271"/>
      <c r="D67" s="272">
        <f>SUM(D57:D66)</f>
        <v>24612237274</v>
      </c>
      <c r="E67" s="272">
        <f>SUM(E57:E66)</f>
        <v>-1135451196</v>
      </c>
      <c r="F67" s="272">
        <f>SUM(F57:F66)</f>
        <v>-80470747</v>
      </c>
      <c r="G67" s="272">
        <f>SUM(G57:G66)</f>
        <v>-66677955</v>
      </c>
      <c r="H67" s="133">
        <f t="shared" si="0"/>
        <v>-13792.791999999999</v>
      </c>
    </row>
    <row r="68" spans="1:8" s="119" customFormat="1" ht="6.75" hidden="1" customHeight="1" thickBot="1">
      <c r="A68" s="120"/>
      <c r="B68" s="631"/>
      <c r="C68" s="632"/>
      <c r="D68" s="632"/>
      <c r="E68" s="632"/>
      <c r="F68" s="632"/>
      <c r="G68" s="633"/>
      <c r="H68" s="133"/>
    </row>
    <row r="69" spans="1:8" s="119" customFormat="1" ht="25.5" hidden="1" customHeight="1" thickBot="1">
      <c r="A69" s="120"/>
      <c r="B69" s="270" t="s">
        <v>289</v>
      </c>
      <c r="C69" s="279"/>
      <c r="D69" s="272">
        <f>+D23+D49+D67</f>
        <v>51668325677</v>
      </c>
      <c r="E69" s="272">
        <f>+E23+E49+E67</f>
        <v>22765420174.039402</v>
      </c>
      <c r="F69" s="272">
        <f>+F23+F49+F67</f>
        <v>3092533</v>
      </c>
      <c r="G69" s="272">
        <f>+G23+G49+G67</f>
        <v>30653472</v>
      </c>
      <c r="H69" s="133">
        <f t="shared" si="0"/>
        <v>-27560.938999999998</v>
      </c>
    </row>
    <row r="70" spans="1:8" s="119" customFormat="1" ht="6.75" hidden="1" customHeight="1" thickBot="1">
      <c r="A70" s="120"/>
      <c r="B70" s="634"/>
      <c r="C70" s="635"/>
      <c r="D70" s="635"/>
      <c r="E70" s="635"/>
      <c r="F70" s="635"/>
      <c r="G70" s="636"/>
      <c r="H70" s="133"/>
    </row>
    <row r="71" spans="1:8" s="119" customFormat="1" ht="24" hidden="1" customHeight="1" thickBot="1">
      <c r="B71" s="280" t="s">
        <v>290</v>
      </c>
      <c r="C71" s="269"/>
      <c r="D71" s="277">
        <f>[3]Resumen!$Z$67</f>
        <v>0</v>
      </c>
      <c r="E71" s="277">
        <f>+[4]Resumen!$Z$67</f>
        <v>0</v>
      </c>
      <c r="F71" s="277">
        <f>ROUND(D71/1000,0)</f>
        <v>0</v>
      </c>
      <c r="G71" s="277">
        <f>ROUND(E71/1000,0)</f>
        <v>0</v>
      </c>
      <c r="H71" s="133">
        <f t="shared" ref="H71:H77" si="3">+(F71-G71)/1000</f>
        <v>0</v>
      </c>
    </row>
    <row r="72" spans="1:8" s="119" customFormat="1" ht="6.75" hidden="1" customHeight="1" thickBot="1">
      <c r="B72" s="625"/>
      <c r="C72" s="626"/>
      <c r="D72" s="626"/>
      <c r="E72" s="626"/>
      <c r="F72" s="626"/>
      <c r="G72" s="627"/>
      <c r="H72" s="133">
        <f t="shared" si="3"/>
        <v>0</v>
      </c>
    </row>
    <row r="73" spans="1:8" s="119" customFormat="1" ht="18" customHeight="1" thickBot="1">
      <c r="B73" s="270" t="s">
        <v>291</v>
      </c>
      <c r="C73" s="271"/>
      <c r="D73" s="272">
        <f>+D23+D49+D67</f>
        <v>51668325677</v>
      </c>
      <c r="E73" s="272">
        <f>+E23+E49+E67</f>
        <v>22765420174.039402</v>
      </c>
      <c r="F73" s="272">
        <f>+F69+F71</f>
        <v>3092533</v>
      </c>
      <c r="G73" s="272">
        <f>+G69+G71</f>
        <v>30653472</v>
      </c>
      <c r="H73" s="133">
        <f t="shared" si="3"/>
        <v>-27560.938999999998</v>
      </c>
    </row>
    <row r="74" spans="1:8" s="119" customFormat="1" ht="6.75" hidden="1" customHeight="1" thickBot="1">
      <c r="B74" s="625"/>
      <c r="C74" s="626"/>
      <c r="D74" s="626"/>
      <c r="E74" s="626"/>
      <c r="F74" s="626"/>
      <c r="G74" s="627"/>
      <c r="H74" s="133"/>
    </row>
    <row r="75" spans="1:8" s="119" customFormat="1" ht="18" customHeight="1" thickBot="1">
      <c r="B75" s="280" t="s">
        <v>133</v>
      </c>
      <c r="C75" s="269"/>
      <c r="D75" s="277">
        <v>5051498769.1188555</v>
      </c>
      <c r="E75" s="277">
        <v>6089961730</v>
      </c>
      <c r="F75" s="268">
        <f>+'[2]Flujo '!D59</f>
        <v>37206648</v>
      </c>
      <c r="G75" s="268">
        <f>+'[2]Flujo '!E59</f>
        <v>6553176</v>
      </c>
      <c r="H75" s="133">
        <f t="shared" si="3"/>
        <v>30653.472000000002</v>
      </c>
    </row>
    <row r="76" spans="1:8" s="119" customFormat="1" ht="6.75" hidden="1" customHeight="1" thickBot="1">
      <c r="B76" s="628"/>
      <c r="C76" s="629"/>
      <c r="D76" s="629"/>
      <c r="E76" s="629"/>
      <c r="F76" s="629"/>
      <c r="G76" s="630"/>
      <c r="H76" s="133"/>
    </row>
    <row r="77" spans="1:8" s="119" customFormat="1" ht="18" customHeight="1" thickBot="1">
      <c r="B77" s="270" t="s">
        <v>132</v>
      </c>
      <c r="C77" s="281" t="s">
        <v>302</v>
      </c>
      <c r="D77" s="272">
        <f>+D73+D75</f>
        <v>56719824446.118858</v>
      </c>
      <c r="E77" s="272">
        <f>+E73+E75</f>
        <v>28855381904.039402</v>
      </c>
      <c r="F77" s="272">
        <f>+F73+F75</f>
        <v>40299181</v>
      </c>
      <c r="G77" s="272">
        <f>+G73+G75</f>
        <v>37206648</v>
      </c>
      <c r="H77" s="133">
        <f t="shared" si="3"/>
        <v>3092.5329999999999</v>
      </c>
    </row>
    <row r="78" spans="1:8">
      <c r="D78" s="121"/>
      <c r="E78" s="121"/>
      <c r="F78" s="121">
        <f>+F77-Balance!D8</f>
        <v>0</v>
      </c>
      <c r="G78" s="121">
        <f>+G77-Balance!E8</f>
        <v>0</v>
      </c>
    </row>
    <row r="79" spans="1:8">
      <c r="D79" s="121"/>
      <c r="E79" s="121"/>
      <c r="F79" s="121">
        <f>+F75-Balance!E8</f>
        <v>0</v>
      </c>
      <c r="G79" s="121">
        <v>0</v>
      </c>
    </row>
    <row r="82" spans="4:4">
      <c r="D82" s="121"/>
    </row>
  </sheetData>
  <mergeCells count="11">
    <mergeCell ref="B3:B4"/>
    <mergeCell ref="C3:C4"/>
    <mergeCell ref="B5:G5"/>
    <mergeCell ref="B11:G11"/>
    <mergeCell ref="B24:G24"/>
    <mergeCell ref="B72:G72"/>
    <mergeCell ref="B74:G74"/>
    <mergeCell ref="B76:G76"/>
    <mergeCell ref="B50:G50"/>
    <mergeCell ref="B68:G68"/>
    <mergeCell ref="B70:G70"/>
  </mergeCells>
  <pageMargins left="0.23622047244094491" right="0.27559055118110237" top="0.98425196850393704" bottom="0.98425196850393704" header="0" footer="0"/>
  <pageSetup scale="7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B2:J20"/>
  <sheetViews>
    <sheetView showGridLines="0" workbookViewId="0">
      <selection activeCell="J40" sqref="J40"/>
    </sheetView>
  </sheetViews>
  <sheetFormatPr baseColWidth="10" defaultRowHeight="11.25"/>
  <cols>
    <col min="1" max="1" width="11.42578125" style="74"/>
    <col min="2" max="2" width="45.5703125" style="74" bestFit="1" customWidth="1"/>
    <col min="3" max="3" width="10.140625" style="74" bestFit="1" customWidth="1"/>
    <col min="4" max="5" width="11.42578125" style="74"/>
    <col min="6" max="6" width="13.85546875" style="74" bestFit="1" customWidth="1"/>
    <col min="7" max="16384" width="11.42578125" style="74"/>
  </cols>
  <sheetData>
    <row r="2" spans="2:10">
      <c r="B2" s="72" t="s">
        <v>131</v>
      </c>
      <c r="C2" s="73" t="s">
        <v>9</v>
      </c>
      <c r="F2" s="73" t="s">
        <v>306</v>
      </c>
      <c r="G2" s="146">
        <v>41518</v>
      </c>
      <c r="H2" s="146">
        <v>41153</v>
      </c>
      <c r="I2" s="73" t="s">
        <v>307</v>
      </c>
    </row>
    <row r="3" spans="2:10">
      <c r="B3" s="74" t="s">
        <v>303</v>
      </c>
      <c r="C3" s="75">
        <f>+cálculos!E68</f>
        <v>60214211</v>
      </c>
      <c r="F3" s="73"/>
      <c r="G3" s="73" t="s">
        <v>84</v>
      </c>
      <c r="H3" s="73" t="s">
        <v>84</v>
      </c>
      <c r="I3" s="73" t="s">
        <v>84</v>
      </c>
    </row>
    <row r="4" spans="2:10">
      <c r="B4" s="74" t="s">
        <v>340</v>
      </c>
      <c r="C4" s="75">
        <f>-cálculos!D68</f>
        <v>-60214211</v>
      </c>
    </row>
    <row r="5" spans="2:10">
      <c r="B5" s="76" t="s">
        <v>341</v>
      </c>
      <c r="C5" s="77">
        <f>+cálculos!C68</f>
        <v>57647853</v>
      </c>
      <c r="F5" s="74">
        <v>5102009100</v>
      </c>
      <c r="G5" s="75">
        <f>+[5]N1000!$O$69/1000000</f>
        <v>211.25958700000001</v>
      </c>
      <c r="H5" s="75">
        <f>+[6]N1000!$O$71/1000000</f>
        <v>2142.983988</v>
      </c>
      <c r="I5" s="78">
        <f>+G5-H5</f>
        <v>-1931.7244009999999</v>
      </c>
      <c r="J5" s="74" t="s">
        <v>342</v>
      </c>
    </row>
    <row r="6" spans="2:10">
      <c r="B6" s="72" t="s">
        <v>339</v>
      </c>
      <c r="C6" s="78">
        <f>SUM(C3:C5)</f>
        <v>57647853</v>
      </c>
      <c r="G6" s="75"/>
      <c r="H6" s="75"/>
    </row>
    <row r="7" spans="2:10">
      <c r="C7" s="75"/>
    </row>
    <row r="8" spans="2:10">
      <c r="B8" s="79" t="s">
        <v>138</v>
      </c>
    </row>
    <row r="9" spans="2:10">
      <c r="B9" s="72" t="s">
        <v>23</v>
      </c>
      <c r="C9" s="73" t="s">
        <v>9</v>
      </c>
    </row>
    <row r="10" spans="2:10">
      <c r="B10" s="74" t="str">
        <f>+B3</f>
        <v>Ejercicio 2012</v>
      </c>
      <c r="C10" s="75">
        <f>+cálculos!F20-cálculos!F21</f>
        <v>181396812</v>
      </c>
    </row>
    <row r="11" spans="2:10">
      <c r="B11" s="74" t="str">
        <f>+B4</f>
        <v>Acum Septiembre 2012</v>
      </c>
      <c r="C11" s="75">
        <f>-(+cálculos!E20-cálculos!E21)</f>
        <v>-181396812</v>
      </c>
    </row>
    <row r="12" spans="2:10">
      <c r="B12" s="76" t="str">
        <f>+B5</f>
        <v>Acum Septiembre 2013</v>
      </c>
      <c r="C12" s="77">
        <f>+cálculos!D20-cálculos!D21</f>
        <v>177119724</v>
      </c>
    </row>
    <row r="13" spans="2:10">
      <c r="B13" s="72" t="str">
        <f>+B6</f>
        <v>Periodo Sep 2012 - Sep 2013</v>
      </c>
      <c r="C13" s="78">
        <f>SUM(C10:C12)</f>
        <v>177119724</v>
      </c>
    </row>
    <row r="16" spans="2:10">
      <c r="B16" s="72" t="s">
        <v>25</v>
      </c>
      <c r="C16" s="73" t="s">
        <v>9</v>
      </c>
    </row>
    <row r="17" spans="2:3">
      <c r="B17" s="74" t="str">
        <f>+B3</f>
        <v>Ejercicio 2012</v>
      </c>
      <c r="C17" s="75">
        <f>-cálculos!F21</f>
        <v>24172052</v>
      </c>
    </row>
    <row r="18" spans="2:3">
      <c r="B18" s="74" t="str">
        <f>+B4</f>
        <v>Acum Septiembre 2012</v>
      </c>
      <c r="C18" s="75">
        <f>+cálculos!E21</f>
        <v>-24172052</v>
      </c>
    </row>
    <row r="19" spans="2:3">
      <c r="B19" s="76" t="str">
        <f>+B5</f>
        <v>Acum Septiembre 2013</v>
      </c>
      <c r="C19" s="77">
        <f>-cálculos!D21</f>
        <v>28886895</v>
      </c>
    </row>
    <row r="20" spans="2:3">
      <c r="B20" s="72" t="str">
        <f>+B13</f>
        <v>Periodo Sep 2012 - Sep 2013</v>
      </c>
      <c r="C20" s="78">
        <f>SUM(C17:C19)</f>
        <v>28886895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</sheetPr>
  <dimension ref="A1"/>
  <sheetViews>
    <sheetView topLeftCell="A19" workbookViewId="0">
      <selection activeCell="J40" sqref="J40"/>
    </sheetView>
  </sheetViews>
  <sheetFormatPr baseColWidth="10" defaultRowHeight="12.7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1"/>
  <sheetViews>
    <sheetView showGridLines="0" workbookViewId="0">
      <selection activeCell="B3" sqref="B3:C21"/>
    </sheetView>
  </sheetViews>
  <sheetFormatPr baseColWidth="10" defaultRowHeight="12.75"/>
  <cols>
    <col min="2" max="2" width="24.5703125" customWidth="1"/>
    <col min="3" max="3" width="15" style="460" bestFit="1" customWidth="1"/>
  </cols>
  <sheetData>
    <row r="3" spans="2:3">
      <c r="B3" s="505" t="s">
        <v>347</v>
      </c>
      <c r="C3" s="506"/>
    </row>
    <row r="4" spans="2:3">
      <c r="B4" s="507" t="s">
        <v>351</v>
      </c>
      <c r="C4" s="506" t="s">
        <v>387</v>
      </c>
    </row>
    <row r="5" spans="2:3">
      <c r="B5" s="507" t="s">
        <v>348</v>
      </c>
      <c r="C5" s="506" t="s">
        <v>387</v>
      </c>
    </row>
    <row r="6" spans="2:3">
      <c r="B6" s="507" t="s">
        <v>352</v>
      </c>
      <c r="C6" s="506" t="s">
        <v>356</v>
      </c>
    </row>
    <row r="7" spans="2:3">
      <c r="B7" s="505"/>
      <c r="C7" s="506"/>
    </row>
    <row r="8" spans="2:3">
      <c r="B8" s="505" t="s">
        <v>389</v>
      </c>
      <c r="C8" s="506" t="s">
        <v>388</v>
      </c>
    </row>
    <row r="9" spans="2:3">
      <c r="B9" s="507"/>
      <c r="C9" s="506"/>
    </row>
    <row r="10" spans="2:3">
      <c r="B10" s="505" t="s">
        <v>349</v>
      </c>
      <c r="C10" s="506"/>
    </row>
    <row r="11" spans="2:3">
      <c r="B11" s="507" t="s">
        <v>353</v>
      </c>
      <c r="C11" s="506" t="s">
        <v>363</v>
      </c>
    </row>
    <row r="12" spans="2:3">
      <c r="B12" s="507" t="s">
        <v>354</v>
      </c>
      <c r="C12" s="506" t="s">
        <v>388</v>
      </c>
    </row>
    <row r="13" spans="2:3">
      <c r="B13" s="507" t="s">
        <v>355</v>
      </c>
      <c r="C13" s="506" t="s">
        <v>356</v>
      </c>
    </row>
    <row r="14" spans="2:3">
      <c r="B14" s="507" t="s">
        <v>357</v>
      </c>
      <c r="C14" s="506" t="s">
        <v>356</v>
      </c>
    </row>
    <row r="15" spans="2:3">
      <c r="B15" s="507"/>
      <c r="C15" s="506"/>
    </row>
    <row r="16" spans="2:3">
      <c r="B16" s="505" t="s">
        <v>350</v>
      </c>
      <c r="C16" s="506"/>
    </row>
    <row r="17" spans="2:3">
      <c r="B17" s="507" t="s">
        <v>358</v>
      </c>
      <c r="C17" s="506" t="s">
        <v>365</v>
      </c>
    </row>
    <row r="18" spans="2:3">
      <c r="B18" s="507" t="s">
        <v>359</v>
      </c>
      <c r="C18" s="506" t="s">
        <v>365</v>
      </c>
    </row>
    <row r="19" spans="2:3">
      <c r="B19" s="507" t="s">
        <v>360</v>
      </c>
      <c r="C19" s="506" t="s">
        <v>365</v>
      </c>
    </row>
    <row r="20" spans="2:3">
      <c r="B20" s="507" t="s">
        <v>361</v>
      </c>
      <c r="C20" s="506" t="s">
        <v>388</v>
      </c>
    </row>
    <row r="21" spans="2:3">
      <c r="B21" s="508" t="s">
        <v>362</v>
      </c>
      <c r="C21" s="506" t="s">
        <v>364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B1:J25"/>
  <sheetViews>
    <sheetView showGridLines="0" workbookViewId="0">
      <selection activeCell="B3" sqref="B3:C21"/>
    </sheetView>
  </sheetViews>
  <sheetFormatPr baseColWidth="10" defaultRowHeight="12.75"/>
  <cols>
    <col min="1" max="1" width="3.85546875" style="3" customWidth="1"/>
    <col min="2" max="2" width="49" style="3" bestFit="1" customWidth="1"/>
    <col min="3" max="6" width="12.7109375" style="3" customWidth="1"/>
    <col min="7" max="7" width="8" style="3" bestFit="1" customWidth="1"/>
    <col min="8" max="9" width="11.42578125" style="3"/>
    <col min="10" max="10" width="17.85546875" style="3" bestFit="1" customWidth="1"/>
    <col min="11" max="16384" width="11.42578125" style="3"/>
  </cols>
  <sheetData>
    <row r="1" spans="2:10" ht="21" customHeight="1">
      <c r="B1" s="134" t="s">
        <v>11</v>
      </c>
    </row>
    <row r="2" spans="2:10">
      <c r="B2" s="156"/>
      <c r="F2" s="8"/>
    </row>
    <row r="3" spans="2:10" ht="44.25" customHeight="1">
      <c r="B3" s="157" t="s">
        <v>104</v>
      </c>
      <c r="C3" s="158" t="s">
        <v>372</v>
      </c>
      <c r="D3" s="158" t="s">
        <v>305</v>
      </c>
      <c r="E3" s="588" t="s">
        <v>373</v>
      </c>
      <c r="F3" s="589"/>
    </row>
    <row r="4" spans="2:10" ht="18.75" customHeight="1">
      <c r="B4" s="159"/>
      <c r="C4" s="52" t="s">
        <v>84</v>
      </c>
      <c r="D4" s="52" t="s">
        <v>84</v>
      </c>
      <c r="E4" s="52" t="s">
        <v>84</v>
      </c>
      <c r="F4" s="52" t="s">
        <v>74</v>
      </c>
    </row>
    <row r="5" spans="2:10" ht="18.75" customHeight="1">
      <c r="B5" s="149" t="s">
        <v>2</v>
      </c>
      <c r="C5" s="67">
        <f>ROUND(cálculos!D6/1000,0)</f>
        <v>134623</v>
      </c>
      <c r="D5" s="67">
        <f>ROUND(cálculos!E6/1000,0)</f>
        <v>122937</v>
      </c>
      <c r="E5" s="68">
        <f>+C5-D5</f>
        <v>11686</v>
      </c>
      <c r="F5" s="160">
        <f>ROUND((C5/D5)-1,3)</f>
        <v>9.5000000000000001E-2</v>
      </c>
      <c r="G5" s="8"/>
    </row>
    <row r="6" spans="2:10" ht="18.75" customHeight="1">
      <c r="B6" s="149" t="s">
        <v>3</v>
      </c>
      <c r="C6" s="67">
        <f>ROUND(cálculos!D7/1000,0)</f>
        <v>1716133</v>
      </c>
      <c r="D6" s="67">
        <f>ROUND(cálculos!E7/1000,0)</f>
        <v>1696351</v>
      </c>
      <c r="E6" s="68">
        <f>+C6-D6</f>
        <v>19782</v>
      </c>
      <c r="F6" s="160">
        <f>ROUND((C6/D6)-1,3)</f>
        <v>1.2E-2</v>
      </c>
      <c r="G6" s="8"/>
      <c r="J6" s="152"/>
    </row>
    <row r="7" spans="2:10" ht="20.25" customHeight="1">
      <c r="B7" s="161" t="s">
        <v>76</v>
      </c>
      <c r="C7" s="69">
        <f>SUM(C5:C6)</f>
        <v>1850756</v>
      </c>
      <c r="D7" s="69">
        <f>SUM(D5:D6)</f>
        <v>1819288</v>
      </c>
      <c r="E7" s="70">
        <f>SUM(E5:E6)</f>
        <v>31468</v>
      </c>
      <c r="F7" s="162">
        <f>ROUND((C7/D7)-1,3)</f>
        <v>1.7000000000000001E-2</v>
      </c>
    </row>
    <row r="8" spans="2:10" ht="18.75" customHeight="1">
      <c r="B8" s="149"/>
      <c r="C8" s="67"/>
      <c r="D8" s="67"/>
      <c r="E8" s="68"/>
      <c r="F8" s="163"/>
    </row>
    <row r="9" spans="2:10" ht="18.75" customHeight="1">
      <c r="B9" s="149" t="s">
        <v>0</v>
      </c>
      <c r="C9" s="67">
        <f>ROUND(cálculos!D10/1000,0)</f>
        <v>221033</v>
      </c>
      <c r="D9" s="67">
        <f>ROUND(cálculos!E10/1000,0)</f>
        <v>167343</v>
      </c>
      <c r="E9" s="68">
        <f>+C9-D9</f>
        <v>53690</v>
      </c>
      <c r="F9" s="160">
        <f>ROUND((C9/D9)-1,3)</f>
        <v>0.32100000000000001</v>
      </c>
      <c r="G9" s="8"/>
    </row>
    <row r="10" spans="2:10" ht="18.75" customHeight="1">
      <c r="B10" s="149" t="s">
        <v>1</v>
      </c>
      <c r="C10" s="67">
        <f>ROUND(cálculos!D11/1000,0)</f>
        <v>680044</v>
      </c>
      <c r="D10" s="67">
        <f>ROUND(cálculos!E11/1000,0)</f>
        <v>695418</v>
      </c>
      <c r="E10" s="68">
        <f>+C10-D10</f>
        <v>-15374</v>
      </c>
      <c r="F10" s="160">
        <f>ROUND((C10/D10)-1,3)</f>
        <v>-2.1999999999999999E-2</v>
      </c>
      <c r="G10" s="8"/>
    </row>
    <row r="11" spans="2:10" ht="22.5" customHeight="1">
      <c r="B11" s="161" t="s">
        <v>77</v>
      </c>
      <c r="C11" s="69">
        <f>+C10+C9</f>
        <v>901077</v>
      </c>
      <c r="D11" s="69">
        <f>+D10+D9</f>
        <v>862761</v>
      </c>
      <c r="E11" s="70">
        <f>+E10+E9</f>
        <v>38316</v>
      </c>
      <c r="F11" s="162">
        <f>ROUND((C11/D11)-1,3)</f>
        <v>4.3999999999999997E-2</v>
      </c>
      <c r="G11" s="8"/>
    </row>
    <row r="12" spans="2:10" ht="18.75" customHeight="1">
      <c r="B12" s="149"/>
      <c r="C12" s="64"/>
      <c r="D12" s="64"/>
      <c r="E12" s="71"/>
      <c r="F12" s="160"/>
    </row>
    <row r="13" spans="2:10" ht="23.25" customHeight="1">
      <c r="B13" s="149" t="s">
        <v>112</v>
      </c>
      <c r="C13" s="67">
        <f>+ROUND(cálculos!D13/1000,0)</f>
        <v>580912</v>
      </c>
      <c r="D13" s="67">
        <f>+ROUND(cálculos!E13/1000,0)</f>
        <v>583788</v>
      </c>
      <c r="E13" s="68">
        <f>+C13-D13</f>
        <v>-2876</v>
      </c>
      <c r="F13" s="160">
        <f>ROUND((C13/D13)-1,3)</f>
        <v>-5.0000000000000001E-3</v>
      </c>
      <c r="G13" s="8"/>
    </row>
    <row r="14" spans="2:10" ht="18.75" customHeight="1">
      <c r="B14" s="149" t="s">
        <v>113</v>
      </c>
      <c r="C14" s="67">
        <f>+ROUND(cálculos!D12/1000,0)</f>
        <v>368767</v>
      </c>
      <c r="D14" s="67">
        <f>+ROUND(cálculos!E12/1000,0)</f>
        <v>372739</v>
      </c>
      <c r="E14" s="68">
        <f>+C14-D14</f>
        <v>-3972</v>
      </c>
      <c r="F14" s="160">
        <f>ROUND((C14/D14)-1,3)</f>
        <v>-1.0999999999999999E-2</v>
      </c>
      <c r="G14" s="8"/>
    </row>
    <row r="15" spans="2:10" ht="21" customHeight="1">
      <c r="B15" s="161" t="s">
        <v>114</v>
      </c>
      <c r="C15" s="69">
        <f>+C13+C14</f>
        <v>949679</v>
      </c>
      <c r="D15" s="69">
        <f>+D13+D14</f>
        <v>956527</v>
      </c>
      <c r="E15" s="70">
        <f>+E13+E14</f>
        <v>-6848</v>
      </c>
      <c r="F15" s="162">
        <f>ROUND((C15/D15)-1,3)</f>
        <v>-7.0000000000000001E-3</v>
      </c>
      <c r="G15" s="8"/>
    </row>
    <row r="16" spans="2:10" ht="27" customHeight="1">
      <c r="B16" s="161" t="s">
        <v>115</v>
      </c>
      <c r="C16" s="69">
        <f>+C15+C11</f>
        <v>1850756</v>
      </c>
      <c r="D16" s="69">
        <f>+D15+D11</f>
        <v>1819288</v>
      </c>
      <c r="E16" s="70">
        <f>+E15+E11</f>
        <v>31468</v>
      </c>
      <c r="F16" s="162">
        <f>ROUND((C16/D16)-1,3)</f>
        <v>1.7000000000000001E-2</v>
      </c>
      <c r="G16" s="8"/>
    </row>
    <row r="17" spans="2:6" ht="18.75" customHeight="1"/>
    <row r="18" spans="2:6" ht="18.75" customHeight="1">
      <c r="B18" s="122"/>
      <c r="C18" s="125">
        <f>+C7-C16</f>
        <v>0</v>
      </c>
      <c r="D18" s="125">
        <f>+D7-D16</f>
        <v>0</v>
      </c>
      <c r="E18" s="125">
        <f>+E7-E16</f>
        <v>0</v>
      </c>
      <c r="F18" s="126">
        <f>+F7-F16</f>
        <v>0</v>
      </c>
    </row>
    <row r="19" spans="2:6" ht="18.75" customHeight="1">
      <c r="B19" s="122"/>
      <c r="C19" s="125"/>
      <c r="D19" s="125"/>
      <c r="E19" s="125"/>
      <c r="F19" s="125"/>
    </row>
    <row r="20" spans="2:6" ht="24" customHeight="1">
      <c r="F20" s="8"/>
    </row>
    <row r="21" spans="2:6" ht="18.75" customHeight="1">
      <c r="C21" s="8"/>
      <c r="D21" s="8"/>
      <c r="E21" s="8"/>
    </row>
    <row r="22" spans="2:6" ht="18.75" customHeight="1"/>
    <row r="24" spans="2:6">
      <c r="B24" s="28"/>
      <c r="C24" s="28"/>
      <c r="D24" s="28"/>
      <c r="E24" s="28"/>
      <c r="F24" s="28"/>
    </row>
    <row r="25" spans="2:6" s="28" customFormat="1">
      <c r="B25" s="3"/>
      <c r="C25" s="3"/>
      <c r="D25" s="3"/>
      <c r="E25" s="3"/>
      <c r="F25" s="3"/>
    </row>
  </sheetData>
  <mergeCells count="1">
    <mergeCell ref="E3:F3"/>
  </mergeCells>
  <phoneticPr fontId="3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J27"/>
  <sheetViews>
    <sheetView showGridLines="0" topLeftCell="A4" workbookViewId="0">
      <selection activeCell="B3" sqref="B3:C21"/>
    </sheetView>
  </sheetViews>
  <sheetFormatPr baseColWidth="10" defaultRowHeight="12.75"/>
  <cols>
    <col min="1" max="1" width="8" style="3" bestFit="1" customWidth="1"/>
    <col min="2" max="2" width="51.28515625" style="3" customWidth="1"/>
    <col min="3" max="3" width="8.140625" style="4" customWidth="1"/>
    <col min="4" max="5" width="13.42578125" style="3" customWidth="1"/>
    <col min="6" max="6" width="15.85546875" style="3" customWidth="1"/>
    <col min="7" max="7" width="6" style="3" customWidth="1"/>
    <col min="8" max="16384" width="11.42578125" style="3"/>
  </cols>
  <sheetData>
    <row r="1" spans="1:10" ht="21" customHeight="1">
      <c r="B1" s="6" t="s">
        <v>67</v>
      </c>
    </row>
    <row r="3" spans="1:10" ht="44.25" customHeight="1">
      <c r="B3" s="169" t="s">
        <v>140</v>
      </c>
      <c r="C3" s="170"/>
      <c r="D3" s="171" t="str">
        <f>+'Cuadro Bce'!C3</f>
        <v>Diciembre
2013</v>
      </c>
      <c r="E3" s="171" t="str">
        <f>+'Cuadro Bce'!D3</f>
        <v>Diciembre
2012</v>
      </c>
      <c r="F3" s="171" t="str">
        <f>+'Cuadro Bce'!E3</f>
        <v>Variación 
Dic 13 - Dic 12</v>
      </c>
    </row>
    <row r="4" spans="1:10" ht="18.75" customHeight="1">
      <c r="B4" s="149"/>
      <c r="C4" s="52"/>
      <c r="D4" s="64"/>
      <c r="E4" s="64"/>
      <c r="F4" s="64"/>
    </row>
    <row r="5" spans="1:10" ht="18.75" customHeight="1">
      <c r="A5" s="8"/>
      <c r="B5" s="161" t="s">
        <v>68</v>
      </c>
      <c r="C5" s="42"/>
      <c r="D5" s="43"/>
      <c r="E5" s="43"/>
      <c r="F5" s="172"/>
      <c r="H5" s="465"/>
    </row>
    <row r="6" spans="1:10" ht="18.75" customHeight="1">
      <c r="A6" s="8"/>
      <c r="B6" s="149" t="s">
        <v>331</v>
      </c>
      <c r="C6" s="52" t="s">
        <v>69</v>
      </c>
      <c r="D6" s="59">
        <f>+cálculos!K7</f>
        <v>0.61</v>
      </c>
      <c r="E6" s="59">
        <f>+cálculos!M7</f>
        <v>0.73</v>
      </c>
      <c r="F6" s="160">
        <f>ROUND((D6/E6)-1,3)</f>
        <v>-0.16400000000000001</v>
      </c>
      <c r="H6" s="465"/>
      <c r="I6" s="16"/>
    </row>
    <row r="7" spans="1:10" ht="20.25" customHeight="1">
      <c r="B7" s="149" t="s">
        <v>332</v>
      </c>
      <c r="C7" s="52" t="s">
        <v>69</v>
      </c>
      <c r="D7" s="59">
        <f>+cálculos!K10</f>
        <v>0.18</v>
      </c>
      <c r="E7" s="59">
        <f>+cálculos!M10</f>
        <v>0.22</v>
      </c>
      <c r="F7" s="160">
        <f>ROUND((D7/E7)-1,3)</f>
        <v>-0.182</v>
      </c>
      <c r="H7" s="465"/>
    </row>
    <row r="8" spans="1:10" ht="18.75" customHeight="1">
      <c r="B8" s="149"/>
      <c r="C8" s="52"/>
      <c r="D8" s="59"/>
      <c r="E8" s="59"/>
      <c r="F8" s="160"/>
      <c r="H8" s="16"/>
    </row>
    <row r="9" spans="1:10" ht="18.75" customHeight="1">
      <c r="A9" s="8"/>
      <c r="B9" s="161" t="s">
        <v>70</v>
      </c>
      <c r="C9" s="42"/>
      <c r="D9" s="43"/>
      <c r="E9" s="43"/>
      <c r="F9" s="172"/>
      <c r="H9" s="466"/>
      <c r="J9" s="466"/>
    </row>
    <row r="10" spans="1:10" ht="18.75" customHeight="1">
      <c r="A10" s="8"/>
      <c r="B10" s="149" t="s">
        <v>333</v>
      </c>
      <c r="C10" s="52" t="s">
        <v>74</v>
      </c>
      <c r="D10" s="64">
        <f>+cálculos!K14</f>
        <v>0.95</v>
      </c>
      <c r="E10" s="64">
        <f>+cálculos!M14</f>
        <v>0.9</v>
      </c>
      <c r="F10" s="160">
        <f>ROUND((D10/E10)-1,3)</f>
        <v>5.6000000000000001E-2</v>
      </c>
    </row>
    <row r="11" spans="1:10" ht="22.5" customHeight="1">
      <c r="A11" s="8"/>
      <c r="B11" s="149" t="s">
        <v>71</v>
      </c>
      <c r="C11" s="52" t="s">
        <v>74</v>
      </c>
      <c r="D11" s="59">
        <f>+cálculos!K17</f>
        <v>0.25</v>
      </c>
      <c r="E11" s="59">
        <f>+cálculos!M17</f>
        <v>0.19</v>
      </c>
      <c r="F11" s="160">
        <f>ROUND((D11/E11)-1,3)</f>
        <v>0.316</v>
      </c>
    </row>
    <row r="12" spans="1:10" ht="18.75" customHeight="1">
      <c r="B12" s="149" t="s">
        <v>72</v>
      </c>
      <c r="C12" s="52" t="s">
        <v>74</v>
      </c>
      <c r="D12" s="59">
        <f>+cálculos!K20</f>
        <v>0.75</v>
      </c>
      <c r="E12" s="59">
        <f>+cálculos!M20</f>
        <v>0.81</v>
      </c>
      <c r="F12" s="160">
        <f>ROUND((D12/E12)-1,3)</f>
        <v>-7.3999999999999996E-2</v>
      </c>
    </row>
    <row r="13" spans="1:10" ht="23.25" customHeight="1">
      <c r="A13" s="8"/>
      <c r="B13" s="149" t="s">
        <v>338</v>
      </c>
      <c r="C13" s="52" t="s">
        <v>69</v>
      </c>
      <c r="D13" s="59">
        <f>+cálculos!K23</f>
        <v>6.13</v>
      </c>
      <c r="E13" s="59">
        <f>+cálculos!M23</f>
        <v>7.5</v>
      </c>
      <c r="F13" s="160">
        <f>ROUND((D13/E13)-1,3)</f>
        <v>-0.183</v>
      </c>
    </row>
    <row r="14" spans="1:10" ht="18.75" customHeight="1">
      <c r="A14" s="8"/>
      <c r="B14" s="149"/>
      <c r="C14" s="52"/>
      <c r="D14" s="59"/>
      <c r="E14" s="59"/>
      <c r="F14" s="160"/>
    </row>
    <row r="15" spans="1:10" ht="21" customHeight="1">
      <c r="A15" s="8"/>
      <c r="B15" s="161" t="s">
        <v>73</v>
      </c>
      <c r="C15" s="42"/>
      <c r="D15" s="43"/>
      <c r="E15" s="43"/>
      <c r="F15" s="172"/>
    </row>
    <row r="16" spans="1:10" ht="26.25" customHeight="1">
      <c r="B16" s="173" t="s">
        <v>334</v>
      </c>
      <c r="C16" s="52" t="s">
        <v>74</v>
      </c>
      <c r="D16" s="59">
        <f>+cálculos!K39</f>
        <v>9.9</v>
      </c>
      <c r="E16" s="59">
        <f>+cálculos!M39</f>
        <v>10.35</v>
      </c>
      <c r="F16" s="160">
        <f>ROUND((D16/E16)-1,3)</f>
        <v>-4.2999999999999997E-2</v>
      </c>
    </row>
    <row r="17" spans="2:6" ht="18.75" customHeight="1">
      <c r="B17" s="149" t="s">
        <v>335</v>
      </c>
      <c r="C17" s="52" t="s">
        <v>74</v>
      </c>
      <c r="D17" s="59">
        <f>+cálculos!K42</f>
        <v>3.1399999999999997</v>
      </c>
      <c r="E17" s="59">
        <f>+cálculos!M42</f>
        <v>3.38</v>
      </c>
      <c r="F17" s="160">
        <f>ROUND((D17/E17)-1,3)</f>
        <v>-7.0999999999999994E-2</v>
      </c>
    </row>
    <row r="18" spans="2:6" ht="18.75" customHeight="1">
      <c r="B18" s="149" t="s">
        <v>336</v>
      </c>
      <c r="C18" s="52" t="s">
        <v>75</v>
      </c>
      <c r="D18" s="59">
        <f>+cálculos!K45</f>
        <v>57.65</v>
      </c>
      <c r="E18" s="59">
        <f>+cálculos!M45</f>
        <v>60.21</v>
      </c>
      <c r="F18" s="160">
        <f>ROUND((D18/E18)-1,3)</f>
        <v>-4.2999999999999997E-2</v>
      </c>
    </row>
    <row r="19" spans="2:6" ht="18.75" customHeight="1">
      <c r="B19" s="174" t="s">
        <v>337</v>
      </c>
      <c r="C19" s="175" t="s">
        <v>74</v>
      </c>
      <c r="D19" s="176">
        <f>+cálculos!K49</f>
        <v>6.81</v>
      </c>
      <c r="E19" s="176">
        <f>+cálculos!M49</f>
        <v>5.7700000000000005</v>
      </c>
      <c r="F19" s="177">
        <f>ROUND((D19/E19)-1,3)</f>
        <v>0.18</v>
      </c>
    </row>
    <row r="20" spans="2:6" ht="24" customHeight="1"/>
    <row r="21" spans="2:6" ht="18.75" customHeight="1">
      <c r="C21" s="36"/>
      <c r="D21" s="37"/>
      <c r="E21" s="37"/>
    </row>
    <row r="22" spans="2:6" ht="18.75" customHeight="1"/>
    <row r="23" spans="2:6">
      <c r="C23" s="34"/>
      <c r="D23" s="13"/>
      <c r="E23" s="13"/>
    </row>
    <row r="24" spans="2:6">
      <c r="C24" s="34"/>
      <c r="D24" s="13"/>
      <c r="E24" s="13"/>
    </row>
    <row r="25" spans="2:6" s="28" customFormat="1">
      <c r="C25" s="35"/>
      <c r="D25" s="38"/>
      <c r="E25" s="38"/>
    </row>
    <row r="26" spans="2:6">
      <c r="C26" s="36"/>
      <c r="D26" s="39"/>
      <c r="E26" s="39"/>
    </row>
    <row r="27" spans="2:6">
      <c r="D27" s="13"/>
      <c r="E27" s="13"/>
    </row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B1:Z35"/>
  <sheetViews>
    <sheetView showGridLines="0" workbookViewId="0">
      <selection activeCell="B3" sqref="B3:C21"/>
    </sheetView>
  </sheetViews>
  <sheetFormatPr baseColWidth="10" defaultRowHeight="12.75"/>
  <cols>
    <col min="1" max="1" width="6" style="3" customWidth="1"/>
    <col min="2" max="2" width="54" style="3" bestFit="1" customWidth="1"/>
    <col min="3" max="4" width="13.7109375" style="3" customWidth="1"/>
    <col min="5" max="5" width="12.5703125" style="3" customWidth="1"/>
    <col min="6" max="6" width="11.5703125" style="3" customWidth="1"/>
    <col min="7" max="7" width="13" style="3" bestFit="1" customWidth="1"/>
    <col min="8" max="8" width="10.140625" style="3" bestFit="1" customWidth="1"/>
    <col min="9" max="10" width="12.7109375" style="3" customWidth="1"/>
    <col min="11" max="12" width="12.28515625" style="3" customWidth="1"/>
    <col min="13" max="13" width="11.42578125" style="3"/>
    <col min="14" max="14" width="60.140625" style="3" bestFit="1" customWidth="1"/>
    <col min="15" max="15" width="17.140625" style="3" customWidth="1"/>
    <col min="16" max="17" width="11.42578125" style="3"/>
    <col min="18" max="18" width="38.5703125" style="3" customWidth="1"/>
    <col min="19" max="20" width="12.7109375" style="3" customWidth="1"/>
    <col min="21" max="21" width="15.5703125" style="3" customWidth="1"/>
    <col min="22" max="22" width="11.5703125" style="3" bestFit="1" customWidth="1"/>
    <col min="23" max="23" width="38.5703125" style="3" customWidth="1"/>
    <col min="24" max="25" width="12.7109375" style="3" customWidth="1"/>
    <col min="26" max="26" width="15.5703125" style="3" customWidth="1"/>
    <col min="27" max="16384" width="11.42578125" style="3"/>
  </cols>
  <sheetData>
    <row r="1" spans="2:26">
      <c r="B1" s="6" t="s">
        <v>296</v>
      </c>
      <c r="N1" s="5" t="s">
        <v>101</v>
      </c>
      <c r="R1" s="5" t="s">
        <v>101</v>
      </c>
      <c r="W1" s="5" t="s">
        <v>101</v>
      </c>
    </row>
    <row r="2" spans="2:26" ht="13.5" thickBot="1"/>
    <row r="3" spans="2:26" ht="44.25" customHeight="1">
      <c r="B3" s="178" t="s">
        <v>98</v>
      </c>
      <c r="C3" s="171" t="str">
        <f>+Indicadores!D3</f>
        <v>Diciembre
2013</v>
      </c>
      <c r="D3" s="158" t="str">
        <f>+'Cuadro Bce'!D3</f>
        <v>Diciembre
2012</v>
      </c>
      <c r="E3" s="588" t="str">
        <f>+'Cuadro Bce'!E3:F3</f>
        <v>Variación 
Dic 13 - Dic 12</v>
      </c>
      <c r="F3" s="589"/>
      <c r="N3" s="26" t="s">
        <v>142</v>
      </c>
      <c r="O3" s="27" t="s">
        <v>299</v>
      </c>
      <c r="R3" s="56" t="s">
        <v>294</v>
      </c>
      <c r="S3" s="57" t="e">
        <f>+#REF!</f>
        <v>#REF!</v>
      </c>
      <c r="T3" s="128" t="str">
        <f>+D3</f>
        <v>Diciembre
2012</v>
      </c>
      <c r="U3" s="127" t="e">
        <f>+#REF!</f>
        <v>#REF!</v>
      </c>
      <c r="W3" s="58" t="s">
        <v>116</v>
      </c>
      <c r="X3" s="128" t="e">
        <f>+#REF!</f>
        <v>#REF!</v>
      </c>
      <c r="Y3" s="128" t="str">
        <f>+T3</f>
        <v>Diciembre
2012</v>
      </c>
      <c r="Z3" s="129" t="e">
        <f>+#REF!</f>
        <v>#REF!</v>
      </c>
    </row>
    <row r="4" spans="2:26" ht="18.75" customHeight="1">
      <c r="B4" s="179"/>
      <c r="C4" s="52" t="s">
        <v>84</v>
      </c>
      <c r="D4" s="52" t="s">
        <v>84</v>
      </c>
      <c r="E4" s="52" t="s">
        <v>84</v>
      </c>
      <c r="F4" s="80" t="s">
        <v>74</v>
      </c>
      <c r="N4" s="24" t="s">
        <v>152</v>
      </c>
      <c r="O4" s="10">
        <v>23005</v>
      </c>
      <c r="R4" s="1"/>
      <c r="S4" s="40"/>
      <c r="T4" s="40"/>
      <c r="U4" s="53"/>
      <c r="W4" s="9" t="s">
        <v>5</v>
      </c>
      <c r="X4" s="45"/>
      <c r="Y4" s="45"/>
      <c r="Z4" s="48"/>
    </row>
    <row r="5" spans="2:26" ht="19.5" customHeight="1">
      <c r="B5" s="149" t="s">
        <v>144</v>
      </c>
      <c r="C5" s="60">
        <f>ROUND(cálculos!C50/1000,0)</f>
        <v>402791</v>
      </c>
      <c r="D5" s="60">
        <f>ROUND(cálculos!D50/1000,0)</f>
        <v>383027</v>
      </c>
      <c r="E5" s="60">
        <f>+C5-D5</f>
        <v>19764</v>
      </c>
      <c r="F5" s="160">
        <f>ROUND((C5/D5)-1,3)</f>
        <v>5.1999999999999998E-2</v>
      </c>
      <c r="G5" s="14"/>
      <c r="H5" s="14"/>
      <c r="I5" s="14"/>
      <c r="N5" s="24" t="s">
        <v>117</v>
      </c>
      <c r="O5" s="10">
        <v>3048</v>
      </c>
      <c r="R5" s="11" t="s">
        <v>99</v>
      </c>
      <c r="S5" s="45">
        <v>286020</v>
      </c>
      <c r="T5" s="45">
        <v>280394</v>
      </c>
      <c r="U5" s="41">
        <f>ROUND((S5/T5)-1,4)</f>
        <v>2.01E-2</v>
      </c>
      <c r="W5" s="12" t="s">
        <v>99</v>
      </c>
      <c r="X5" s="45">
        <v>1960476</v>
      </c>
      <c r="Y5" s="45">
        <v>1924899</v>
      </c>
      <c r="Z5" s="41">
        <f>ROUND((X5/Y5)-1,4)</f>
        <v>1.8499999999999999E-2</v>
      </c>
    </row>
    <row r="6" spans="2:26" ht="19.5" customHeight="1">
      <c r="B6" s="149" t="s">
        <v>126</v>
      </c>
      <c r="C6" s="60">
        <f>ROUND(cálculos!C51/1000,0)</f>
        <v>-27417</v>
      </c>
      <c r="D6" s="60">
        <f>ROUND(cálculos!D51/1000,0)</f>
        <v>-29164</v>
      </c>
      <c r="E6" s="60">
        <f t="shared" ref="E6:E21" si="0">+C6-D6</f>
        <v>1747</v>
      </c>
      <c r="F6" s="160">
        <f t="shared" ref="F6:F22" si="1">ROUND((C6/D6)-1,3)</f>
        <v>-0.06</v>
      </c>
      <c r="G6" s="60">
        <f>+C6+C7+C8+C10</f>
        <v>-221099</v>
      </c>
      <c r="H6" s="60">
        <f>+D6+D7+D8+D10</f>
        <v>-196735</v>
      </c>
      <c r="I6" s="14">
        <f>+G6-H6</f>
        <v>-24364</v>
      </c>
      <c r="J6" s="160">
        <f t="shared" ref="J6:J7" si="2">ROUND((G6/H6)-1,3)</f>
        <v>0.124</v>
      </c>
      <c r="N6" s="24" t="s">
        <v>148</v>
      </c>
      <c r="O6" s="10">
        <v>2393</v>
      </c>
      <c r="R6" s="11" t="s">
        <v>149</v>
      </c>
      <c r="S6" s="45">
        <v>277471</v>
      </c>
      <c r="T6" s="45">
        <v>270530</v>
      </c>
      <c r="U6" s="41">
        <f>ROUND((S6/T6)-1,4)</f>
        <v>2.5700000000000001E-2</v>
      </c>
      <c r="W6" s="12" t="s">
        <v>149</v>
      </c>
      <c r="X6" s="45">
        <v>1919015</v>
      </c>
      <c r="Y6" s="45">
        <v>1882256</v>
      </c>
      <c r="Z6" s="41">
        <f>ROUND((X6/Y6)-1,4)</f>
        <v>1.95E-2</v>
      </c>
    </row>
    <row r="7" spans="2:26" ht="19.5" customHeight="1" thickBot="1">
      <c r="B7" s="149" t="s">
        <v>109</v>
      </c>
      <c r="C7" s="60">
        <f>ROUND(cálculos!C52/1000,0)</f>
        <v>-40811</v>
      </c>
      <c r="D7" s="60">
        <f>ROUND(cálculos!D52/1000,0)</f>
        <v>-38488</v>
      </c>
      <c r="E7" s="60">
        <f t="shared" si="0"/>
        <v>-2323</v>
      </c>
      <c r="F7" s="160">
        <f t="shared" si="1"/>
        <v>0.06</v>
      </c>
      <c r="G7" s="60">
        <f>+C5+C6+C7+C10</f>
        <v>246413</v>
      </c>
      <c r="H7" s="60">
        <f t="shared" ref="H7" si="3">+D5+D6+D7+D10</f>
        <v>241517</v>
      </c>
      <c r="I7" s="14">
        <f>+G7-H7</f>
        <v>4896</v>
      </c>
      <c r="J7" s="160">
        <f t="shared" si="2"/>
        <v>0.02</v>
      </c>
      <c r="N7" s="25" t="s">
        <v>292</v>
      </c>
      <c r="O7" s="15">
        <v>1837</v>
      </c>
      <c r="R7" s="11" t="s">
        <v>150</v>
      </c>
      <c r="S7" s="45">
        <v>240841</v>
      </c>
      <c r="T7" s="45">
        <v>234779</v>
      </c>
      <c r="U7" s="41">
        <f>ROUND((S7/T7)-1,4)</f>
        <v>2.58E-2</v>
      </c>
      <c r="W7" s="17"/>
      <c r="X7" s="46"/>
      <c r="Y7" s="46"/>
      <c r="Z7" s="49"/>
    </row>
    <row r="8" spans="2:26" ht="19.5" customHeight="1">
      <c r="B8" s="149" t="s">
        <v>110</v>
      </c>
      <c r="C8" s="60">
        <f>ROUND(cálculos!C53/1000,0)</f>
        <v>-64721</v>
      </c>
      <c r="D8" s="60">
        <f>ROUND(cálculos!D53/1000,0)</f>
        <v>-55225</v>
      </c>
      <c r="E8" s="60">
        <f t="shared" si="0"/>
        <v>-9496</v>
      </c>
      <c r="F8" s="160">
        <f t="shared" si="1"/>
        <v>0.17199999999999999</v>
      </c>
      <c r="G8" s="16"/>
      <c r="I8" s="14"/>
      <c r="R8" s="11" t="s">
        <v>151</v>
      </c>
      <c r="S8" s="45">
        <v>65467</v>
      </c>
      <c r="T8" s="45">
        <v>62991</v>
      </c>
      <c r="U8" s="41">
        <f>ROUND((S8/T8)-1,4)</f>
        <v>3.9300000000000002E-2</v>
      </c>
    </row>
    <row r="9" spans="2:26" ht="19.5" hidden="1" customHeight="1" thickBot="1">
      <c r="B9" s="149" t="s">
        <v>293</v>
      </c>
      <c r="C9" s="60">
        <f>ROUND(cálculos!C54/1000,0)</f>
        <v>0</v>
      </c>
      <c r="D9" s="60">
        <f>ROUND(cálculos!D54/1000,0)</f>
        <v>0</v>
      </c>
      <c r="E9" s="60">
        <f t="shared" si="0"/>
        <v>0</v>
      </c>
      <c r="F9" s="160" t="e">
        <f>ROUND((C9/D9)-1,3)</f>
        <v>#DIV/0!</v>
      </c>
      <c r="G9" s="16"/>
      <c r="I9" s="14"/>
      <c r="R9" s="18"/>
      <c r="S9" s="46"/>
      <c r="T9" s="46"/>
      <c r="U9" s="47"/>
    </row>
    <row r="10" spans="2:26" ht="19.5" customHeight="1">
      <c r="B10" s="174" t="s">
        <v>111</v>
      </c>
      <c r="C10" s="61">
        <f>ROUND(cálculos!C55/1000,0)</f>
        <v>-88150</v>
      </c>
      <c r="D10" s="61">
        <f>ROUND(cálculos!D55/1000,0)</f>
        <v>-73858</v>
      </c>
      <c r="E10" s="61">
        <f t="shared" si="0"/>
        <v>-14292</v>
      </c>
      <c r="F10" s="177">
        <f t="shared" si="1"/>
        <v>0.19400000000000001</v>
      </c>
      <c r="G10" s="16"/>
      <c r="I10" s="14"/>
    </row>
    <row r="11" spans="2:26" ht="19.5" customHeight="1">
      <c r="B11" s="180" t="s">
        <v>147</v>
      </c>
      <c r="C11" s="51">
        <f>SUM(C5:C10)</f>
        <v>181692</v>
      </c>
      <c r="D11" s="51">
        <f>SUM(D5:D10)</f>
        <v>186292</v>
      </c>
      <c r="E11" s="51">
        <f t="shared" si="0"/>
        <v>-4600</v>
      </c>
      <c r="F11" s="181">
        <f t="shared" si="1"/>
        <v>-2.5000000000000001E-2</v>
      </c>
      <c r="G11" s="14"/>
    </row>
    <row r="12" spans="2:26" ht="19.5" customHeight="1">
      <c r="B12" s="149" t="s">
        <v>118</v>
      </c>
      <c r="C12" s="60">
        <f>ROUND(cálculos!C57/1000,0)</f>
        <v>7056</v>
      </c>
      <c r="D12" s="60">
        <f>ROUND(cálculos!D57/1000,0)</f>
        <v>8389</v>
      </c>
      <c r="E12" s="60">
        <f t="shared" si="0"/>
        <v>-1333</v>
      </c>
      <c r="F12" s="160">
        <f t="shared" si="1"/>
        <v>-0.159</v>
      </c>
      <c r="G12" s="14">
        <f>+C12+C13</f>
        <v>-21831</v>
      </c>
      <c r="H12" s="14">
        <f>+D12+D13</f>
        <v>-15783</v>
      </c>
      <c r="I12" s="14">
        <f>+G12-H12</f>
        <v>-6048</v>
      </c>
      <c r="J12" s="160">
        <f t="shared" ref="J12" si="4">ROUND((G12/H12)-1,3)</f>
        <v>0.38300000000000001</v>
      </c>
    </row>
    <row r="13" spans="2:26" ht="19.5" customHeight="1">
      <c r="B13" s="149" t="s">
        <v>119</v>
      </c>
      <c r="C13" s="60">
        <f>ROUND(cálculos!C58/1000,0)</f>
        <v>-28887</v>
      </c>
      <c r="D13" s="60">
        <f>ROUND(cálculos!D58/1000,0)</f>
        <v>-24172</v>
      </c>
      <c r="E13" s="60">
        <f t="shared" si="0"/>
        <v>-4715</v>
      </c>
      <c r="F13" s="160">
        <f>ROUND((C13/D13)-1,3)</f>
        <v>0.19500000000000001</v>
      </c>
      <c r="G13" s="14"/>
    </row>
    <row r="14" spans="2:26" ht="19.5" customHeight="1">
      <c r="B14" s="149" t="s">
        <v>145</v>
      </c>
      <c r="C14" s="60">
        <f>ROUND(cálculos!C59/1000,0)</f>
        <v>-2</v>
      </c>
      <c r="D14" s="60">
        <f>ROUND(cálculos!D59/1000,0)</f>
        <v>-27</v>
      </c>
      <c r="E14" s="60">
        <f t="shared" si="0"/>
        <v>25</v>
      </c>
      <c r="F14" s="160">
        <f>ROUND((C14/D14)-1,3)</f>
        <v>-0.92600000000000005</v>
      </c>
      <c r="G14" s="14"/>
    </row>
    <row r="15" spans="2:26" ht="19.5" customHeight="1">
      <c r="B15" s="167" t="s">
        <v>120</v>
      </c>
      <c r="C15" s="61">
        <f>ROUND(cálculos!C60/1000,0)</f>
        <v>-12954</v>
      </c>
      <c r="D15" s="61">
        <f>ROUND(cálculos!D60/1000,0)</f>
        <v>-13886</v>
      </c>
      <c r="E15" s="61">
        <f t="shared" si="0"/>
        <v>932</v>
      </c>
      <c r="F15" s="177">
        <f>ROUND((C15/D15)-1,3)</f>
        <v>-6.7000000000000004E-2</v>
      </c>
      <c r="G15" s="14"/>
    </row>
    <row r="16" spans="2:26" ht="19.5" customHeight="1">
      <c r="B16" s="180" t="s">
        <v>121</v>
      </c>
      <c r="C16" s="51">
        <f>SUM(C12:C15)</f>
        <v>-34787</v>
      </c>
      <c r="D16" s="51">
        <f>SUM(D12:D15)</f>
        <v>-29696</v>
      </c>
      <c r="E16" s="51">
        <f t="shared" si="0"/>
        <v>-5091</v>
      </c>
      <c r="F16" s="181">
        <f>ROUND((C16/D16)-1,3)</f>
        <v>0.17100000000000001</v>
      </c>
      <c r="G16" s="14"/>
    </row>
    <row r="17" spans="2:24" ht="19.5" customHeight="1">
      <c r="B17" s="174" t="s">
        <v>122</v>
      </c>
      <c r="C17" s="61">
        <f>ROUND(cálculos!C62/1000,0)+1</f>
        <v>1328</v>
      </c>
      <c r="D17" s="61">
        <f>ROUND(cálculos!D62/1000,0)</f>
        <v>629</v>
      </c>
      <c r="E17" s="61">
        <f t="shared" si="0"/>
        <v>699</v>
      </c>
      <c r="F17" s="177">
        <f t="shared" si="1"/>
        <v>1.111</v>
      </c>
      <c r="G17" s="14"/>
    </row>
    <row r="18" spans="2:24" ht="19.5" customHeight="1">
      <c r="B18" s="180" t="s">
        <v>123</v>
      </c>
      <c r="C18" s="51">
        <f>+C11+C16+C17</f>
        <v>148233</v>
      </c>
      <c r="D18" s="51">
        <f>+D11+D16+D17</f>
        <v>157225</v>
      </c>
      <c r="E18" s="51">
        <f t="shared" si="0"/>
        <v>-8992</v>
      </c>
      <c r="F18" s="181">
        <f t="shared" si="1"/>
        <v>-5.7000000000000002E-2</v>
      </c>
      <c r="G18" s="14"/>
    </row>
    <row r="19" spans="2:24" ht="19.5" customHeight="1">
      <c r="B19" s="174" t="s">
        <v>130</v>
      </c>
      <c r="C19" s="61">
        <f>ROUND(cálculos!C65/1000,0)</f>
        <v>-29333</v>
      </c>
      <c r="D19" s="61">
        <f>ROUND(cálculos!D65/1000,0)</f>
        <v>-35769</v>
      </c>
      <c r="E19" s="61">
        <f t="shared" si="0"/>
        <v>6436</v>
      </c>
      <c r="F19" s="177">
        <f>ROUND((C19/D19)-1,3)</f>
        <v>-0.18</v>
      </c>
      <c r="G19" s="14"/>
    </row>
    <row r="20" spans="2:24" ht="19.5" customHeight="1">
      <c r="B20" s="180" t="s">
        <v>146</v>
      </c>
      <c r="C20" s="51">
        <f>+C18+C19</f>
        <v>118900</v>
      </c>
      <c r="D20" s="51">
        <f>+D18+D19</f>
        <v>121456</v>
      </c>
      <c r="E20" s="51">
        <f>+E18+E19</f>
        <v>-2556</v>
      </c>
      <c r="F20" s="181">
        <f t="shared" si="1"/>
        <v>-2.1000000000000001E-2</v>
      </c>
      <c r="G20" s="14"/>
    </row>
    <row r="21" spans="2:24" ht="19.5" customHeight="1">
      <c r="B21" s="149" t="s">
        <v>129</v>
      </c>
      <c r="C21" s="60">
        <f>-ROUND(cálculos!C66/1000,0)</f>
        <v>-61252</v>
      </c>
      <c r="D21" s="60">
        <f>-ROUND(cálculos!D66/1000,0)</f>
        <v>-61242</v>
      </c>
      <c r="E21" s="60">
        <f t="shared" si="0"/>
        <v>-10</v>
      </c>
      <c r="F21" s="160">
        <f>ROUND((C21/D21)-1,3)</f>
        <v>0</v>
      </c>
      <c r="G21" s="14"/>
      <c r="R21" s="20"/>
      <c r="S21" s="2"/>
      <c r="T21" s="2"/>
      <c r="U21" s="2"/>
    </row>
    <row r="22" spans="2:24" ht="23.25" customHeight="1">
      <c r="B22" s="161" t="s">
        <v>131</v>
      </c>
      <c r="C22" s="182">
        <f>+C20+C21</f>
        <v>57648</v>
      </c>
      <c r="D22" s="182">
        <f>+D20+D21</f>
        <v>60214</v>
      </c>
      <c r="E22" s="182">
        <f>+E20+E21</f>
        <v>-2566</v>
      </c>
      <c r="F22" s="162">
        <f t="shared" si="1"/>
        <v>-4.2999999999999997E-2</v>
      </c>
      <c r="G22" s="14"/>
      <c r="R22" s="7"/>
      <c r="S22" s="2"/>
      <c r="T22" s="2"/>
      <c r="U22" s="2"/>
      <c r="V22" s="2"/>
      <c r="W22" s="2"/>
      <c r="X22" s="2"/>
    </row>
    <row r="23" spans="2:24" ht="18.75" customHeight="1">
      <c r="R23" s="7"/>
      <c r="S23" s="7"/>
      <c r="T23" s="7"/>
      <c r="U23" s="2"/>
      <c r="V23" s="2"/>
      <c r="W23" s="2"/>
      <c r="X23" s="2"/>
    </row>
    <row r="24" spans="2:24">
      <c r="C24" s="143">
        <f>+Resultado!D25/1000</f>
        <v>57647.853000000003</v>
      </c>
      <c r="D24" s="143">
        <f>+Resultado!E25/1000</f>
        <v>60214.211000000003</v>
      </c>
      <c r="N24" s="19"/>
      <c r="O24" s="19"/>
      <c r="R24" s="21"/>
      <c r="S24" s="2"/>
      <c r="T24" s="2"/>
      <c r="U24" s="2"/>
      <c r="V24" s="2"/>
      <c r="W24" s="2"/>
      <c r="X24" s="2"/>
    </row>
    <row r="25" spans="2:24">
      <c r="B25" s="28"/>
      <c r="C25" s="142">
        <f>+C22-C24</f>
        <v>0.14699999999720603</v>
      </c>
      <c r="D25" s="142">
        <f>+D22-D24</f>
        <v>-0.21100000000296859</v>
      </c>
      <c r="E25" s="29"/>
      <c r="F25" s="28"/>
      <c r="H25" s="28"/>
      <c r="I25" s="28"/>
      <c r="J25" s="28"/>
      <c r="K25" s="28"/>
      <c r="L25" s="28"/>
      <c r="R25" s="20"/>
      <c r="S25" s="2"/>
      <c r="T25" s="2"/>
      <c r="U25" s="2"/>
      <c r="V25" s="2"/>
      <c r="W25" s="2"/>
      <c r="X25" s="2"/>
    </row>
    <row r="26" spans="2:24" s="28" customFormat="1">
      <c r="B26" s="3"/>
      <c r="C26" s="3"/>
      <c r="D26" s="3"/>
      <c r="E26" s="3"/>
      <c r="F26" s="3"/>
      <c r="H26" s="3"/>
      <c r="I26" s="3"/>
      <c r="J26" s="3"/>
      <c r="K26" s="3"/>
      <c r="L26" s="3"/>
      <c r="R26" s="31"/>
      <c r="S26" s="32"/>
      <c r="T26" s="32"/>
      <c r="U26" s="32"/>
      <c r="V26" s="31"/>
      <c r="W26" s="31"/>
      <c r="X26" s="33"/>
    </row>
    <row r="27" spans="2:24">
      <c r="R27" s="20"/>
      <c r="S27" s="2"/>
      <c r="T27" s="22"/>
      <c r="U27" s="22"/>
      <c r="V27" s="20"/>
      <c r="W27" s="22"/>
      <c r="X27" s="2"/>
    </row>
    <row r="28" spans="2:24">
      <c r="R28" s="20"/>
      <c r="S28" s="2"/>
      <c r="T28" s="22"/>
      <c r="U28" s="22"/>
      <c r="V28" s="2"/>
      <c r="W28" s="2"/>
      <c r="X28" s="2"/>
    </row>
    <row r="29" spans="2:24">
      <c r="R29" s="7"/>
      <c r="S29" s="2"/>
      <c r="T29" s="2"/>
      <c r="U29" s="2"/>
      <c r="V29" s="2"/>
      <c r="W29" s="2"/>
      <c r="X29" s="2"/>
    </row>
    <row r="30" spans="2:24">
      <c r="R30" s="7"/>
      <c r="S30" s="2"/>
      <c r="T30" s="2"/>
      <c r="U30" s="2"/>
      <c r="V30" s="2"/>
      <c r="W30" s="2"/>
      <c r="X30" s="2"/>
    </row>
    <row r="31" spans="2:24">
      <c r="R31" s="7"/>
      <c r="S31" s="2"/>
      <c r="T31" s="2"/>
      <c r="U31" s="2"/>
      <c r="V31" s="2"/>
      <c r="W31" s="2"/>
      <c r="X31" s="2"/>
    </row>
    <row r="32" spans="2:24">
      <c r="R32" s="21"/>
      <c r="S32" s="2"/>
      <c r="T32" s="2"/>
      <c r="U32" s="2"/>
      <c r="V32" s="7"/>
      <c r="W32" s="7"/>
      <c r="X32" s="2"/>
    </row>
    <row r="33" spans="18:24">
      <c r="R33" s="20"/>
      <c r="S33" s="2"/>
      <c r="T33" s="2"/>
      <c r="U33" s="2"/>
      <c r="V33" s="2"/>
      <c r="W33" s="2"/>
      <c r="X33" s="2"/>
    </row>
    <row r="34" spans="18:24">
      <c r="R34" s="20"/>
      <c r="S34" s="2"/>
      <c r="T34" s="2"/>
      <c r="U34" s="2"/>
      <c r="V34" s="20"/>
      <c r="W34" s="2"/>
      <c r="X34" s="2"/>
    </row>
    <row r="35" spans="18:24">
      <c r="V35" s="20"/>
      <c r="W35" s="2"/>
      <c r="X35" s="2"/>
    </row>
  </sheetData>
  <mergeCells count="1">
    <mergeCell ref="E3:F3"/>
  </mergeCells>
  <pageMargins left="0.74803149606299213" right="0.74803149606299213" top="0.98425196850393704" bottom="0.98425196850393704" header="0" footer="0"/>
  <pageSetup scale="19" orientation="portrait" verticalDpi="200" r:id="rId1"/>
  <headerFooter alignWithMargins="0"/>
  <ignoredErrors>
    <ignoredError sqref="C21:E21 E2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B1:G26"/>
  <sheetViews>
    <sheetView showGridLines="0" workbookViewId="0">
      <selection activeCell="B3" sqref="B3:C21"/>
    </sheetView>
  </sheetViews>
  <sheetFormatPr baseColWidth="10" defaultRowHeight="12.75"/>
  <cols>
    <col min="1" max="1" width="6" style="3" customWidth="1"/>
    <col min="2" max="2" width="57.7109375" style="3" bestFit="1" customWidth="1"/>
    <col min="3" max="4" width="13.7109375" style="3" customWidth="1"/>
    <col min="5" max="6" width="11.42578125" style="3" customWidth="1"/>
    <col min="7" max="16384" width="11.42578125" style="3"/>
  </cols>
  <sheetData>
    <row r="1" spans="2:7" ht="21" customHeight="1">
      <c r="B1" s="6" t="s">
        <v>78</v>
      </c>
    </row>
    <row r="3" spans="2:7" ht="44.25" customHeight="1">
      <c r="B3" s="178" t="s">
        <v>141</v>
      </c>
      <c r="C3" s="171" t="str">
        <f>+'Cuadro Resultado'!C3</f>
        <v>Diciembre
2013</v>
      </c>
      <c r="D3" s="171" t="str">
        <f>+'Cuadro Resultado'!D3</f>
        <v>Diciembre
2012</v>
      </c>
      <c r="E3" s="590" t="str">
        <f>+'Cuadro Resultado'!E3</f>
        <v>Variación 
Dic 13 - Dic 12</v>
      </c>
      <c r="F3" s="591"/>
    </row>
    <row r="4" spans="2:7" ht="18.75" customHeight="1">
      <c r="B4" s="179"/>
      <c r="C4" s="52" t="s">
        <v>84</v>
      </c>
      <c r="D4" s="52" t="s">
        <v>84</v>
      </c>
      <c r="E4" s="52" t="s">
        <v>84</v>
      </c>
      <c r="F4" s="80" t="s">
        <v>74</v>
      </c>
    </row>
    <row r="5" spans="2:7" ht="18.75" customHeight="1">
      <c r="B5" s="183" t="s">
        <v>136</v>
      </c>
      <c r="C5" s="62">
        <f>ROUND(cálculos!D28/1000,0)-1</f>
        <v>202592</v>
      </c>
      <c r="D5" s="62">
        <f>ROUND(cálculos!E28/1000,0)</f>
        <v>202701</v>
      </c>
      <c r="E5" s="147">
        <f>+C5-D5</f>
        <v>-109</v>
      </c>
      <c r="F5" s="160">
        <f>ROUND((C5/D5)-1,3)</f>
        <v>-1E-3</v>
      </c>
      <c r="G5" s="13">
        <f>+C5-D5</f>
        <v>-109</v>
      </c>
    </row>
    <row r="6" spans="2:7" ht="18.75" customHeight="1">
      <c r="B6" s="183" t="s">
        <v>135</v>
      </c>
      <c r="C6" s="62">
        <f>ROUND(cálculos!D29/1000,0)</f>
        <v>-119029</v>
      </c>
      <c r="D6" s="62">
        <f>ROUND(cálculos!E29/1000,0)</f>
        <v>-105369</v>
      </c>
      <c r="E6" s="147">
        <f>+C6-D6</f>
        <v>-13660</v>
      </c>
      <c r="F6" s="160">
        <f>ROUND((C6/D6)-1,3)</f>
        <v>0.13</v>
      </c>
      <c r="G6" s="13">
        <f>+C6-D6</f>
        <v>-13660</v>
      </c>
    </row>
    <row r="7" spans="2:7" ht="20.25" customHeight="1">
      <c r="B7" s="183" t="s">
        <v>134</v>
      </c>
      <c r="C7" s="62">
        <f>ROUND(cálculos!D30/1000,0)</f>
        <v>-80471</v>
      </c>
      <c r="D7" s="62">
        <f>ROUND(cálculos!E30/1000,0)</f>
        <v>-66678</v>
      </c>
      <c r="E7" s="147">
        <f>+C7-D7</f>
        <v>-13793</v>
      </c>
      <c r="F7" s="160">
        <f>ROUND((C7/D7)-1,3)</f>
        <v>0.20699999999999999</v>
      </c>
      <c r="G7" s="13">
        <f>+C7-D7</f>
        <v>-13793</v>
      </c>
    </row>
    <row r="8" spans="2:7" ht="18.75" customHeight="1">
      <c r="B8" s="183"/>
      <c r="C8" s="62"/>
      <c r="D8" s="62"/>
      <c r="E8" s="147"/>
      <c r="F8" s="163"/>
      <c r="G8" s="13"/>
    </row>
    <row r="9" spans="2:7" ht="18.75" customHeight="1">
      <c r="B9" s="191" t="s">
        <v>139</v>
      </c>
      <c r="C9" s="63">
        <f>SUM(C5:C7)</f>
        <v>3092</v>
      </c>
      <c r="D9" s="63">
        <f>SUM(D5:D7)</f>
        <v>30654</v>
      </c>
      <c r="E9" s="148">
        <f>+C9-D9</f>
        <v>-27562</v>
      </c>
      <c r="F9" s="162">
        <f>ROUND((C9/D9)-1,3)</f>
        <v>-0.89900000000000002</v>
      </c>
      <c r="G9" s="13">
        <f>+C9-D9</f>
        <v>-27562</v>
      </c>
    </row>
    <row r="10" spans="2:7" ht="18.75" customHeight="1">
      <c r="B10" s="183"/>
      <c r="C10" s="64"/>
      <c r="D10" s="64"/>
      <c r="E10" s="149"/>
      <c r="F10" s="160"/>
      <c r="G10" s="13"/>
    </row>
    <row r="11" spans="2:7" ht="22.5" customHeight="1">
      <c r="B11" s="183" t="s">
        <v>133</v>
      </c>
      <c r="C11" s="62">
        <f>ROUND(cálculos!D32/1000,0)</f>
        <v>37207</v>
      </c>
      <c r="D11" s="62">
        <f>ROUND(cálculos!E32/1000,0)</f>
        <v>6553</v>
      </c>
      <c r="E11" s="147">
        <f>+C11-D11</f>
        <v>30654</v>
      </c>
      <c r="F11" s="160">
        <f>ROUND((C11/D11)-1,3)</f>
        <v>4.6779999999999999</v>
      </c>
      <c r="G11" s="13">
        <f>+C11-D11</f>
        <v>30654</v>
      </c>
    </row>
    <row r="12" spans="2:7" ht="18.75" customHeight="1">
      <c r="B12" s="174"/>
      <c r="C12" s="65"/>
      <c r="D12" s="66"/>
      <c r="E12" s="150"/>
      <c r="F12" s="192"/>
    </row>
    <row r="13" spans="2:7" ht="23.25" customHeight="1">
      <c r="B13" s="193" t="s">
        <v>132</v>
      </c>
      <c r="C13" s="194">
        <f>+C9+C11</f>
        <v>40299</v>
      </c>
      <c r="D13" s="194">
        <f>+D9+D11</f>
        <v>37207</v>
      </c>
      <c r="E13" s="195">
        <f>+C13-D13</f>
        <v>3092</v>
      </c>
      <c r="F13" s="196">
        <f>ROUND((C13/D13)-1,3)</f>
        <v>8.3000000000000004E-2</v>
      </c>
      <c r="G13" s="13">
        <f>+C13-D13</f>
        <v>3092</v>
      </c>
    </row>
    <row r="14" spans="2:7" ht="18.75" customHeight="1"/>
    <row r="15" spans="2:7" ht="21" customHeight="1">
      <c r="B15" s="123" t="s">
        <v>100</v>
      </c>
      <c r="C15" s="124">
        <f>+C13-cálculos!D33/1000</f>
        <v>-0.18099999999685679</v>
      </c>
      <c r="D15" s="124">
        <f>+D13-cálculos!E33/1000</f>
        <v>0.35199999999895226</v>
      </c>
      <c r="E15" s="124"/>
      <c r="F15" s="50"/>
    </row>
    <row r="16" spans="2:7" ht="27" customHeight="1">
      <c r="G16" s="13"/>
    </row>
    <row r="17" spans="2:6" ht="18.75" customHeight="1"/>
    <row r="18" spans="2:6" ht="18.75" customHeight="1"/>
    <row r="19" spans="2:6" ht="18.75" customHeight="1"/>
    <row r="20" spans="2:6" ht="18.75" customHeight="1"/>
    <row r="21" spans="2:6" ht="24" customHeight="1"/>
    <row r="22" spans="2:6" ht="18.75" customHeight="1"/>
    <row r="23" spans="2:6" ht="18.75" customHeight="1"/>
    <row r="25" spans="2:6">
      <c r="B25" s="28"/>
      <c r="C25" s="29">
        <f>+cálculos!D33/1000-C13</f>
        <v>0.18099999999685679</v>
      </c>
      <c r="D25" s="29">
        <f>+cálculos!E33/1000-D13</f>
        <v>-0.35199999999895226</v>
      </c>
      <c r="E25" s="29"/>
      <c r="F25" s="28"/>
    </row>
    <row r="26" spans="2:6" s="28" customFormat="1">
      <c r="B26" s="3"/>
      <c r="C26" s="3"/>
      <c r="D26" s="3"/>
      <c r="E26" s="3"/>
      <c r="F26" s="3"/>
    </row>
  </sheetData>
  <mergeCells count="1">
    <mergeCell ref="E3:F3"/>
  </mergeCells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B1:Z42"/>
  <sheetViews>
    <sheetView showGridLines="0" workbookViewId="0">
      <selection activeCell="B3" sqref="B3:C21"/>
    </sheetView>
  </sheetViews>
  <sheetFormatPr baseColWidth="10" defaultRowHeight="12.75"/>
  <cols>
    <col min="1" max="1" width="4" style="3" customWidth="1"/>
    <col min="2" max="2" width="60.140625" style="3" bestFit="1" customWidth="1"/>
    <col min="3" max="3" width="16.42578125" style="3" customWidth="1"/>
    <col min="4" max="4" width="16.42578125" style="28" customWidth="1"/>
    <col min="5" max="5" width="25" style="3" customWidth="1"/>
    <col min="6" max="11" width="11.28515625" style="3" customWidth="1"/>
    <col min="12" max="12" width="11.42578125" style="3"/>
    <col min="13" max="13" width="41.5703125" style="3" bestFit="1" customWidth="1"/>
    <col min="14" max="15" width="12.7109375" style="3" customWidth="1"/>
    <col min="16" max="17" width="12.28515625" style="3" customWidth="1"/>
    <col min="18" max="18" width="11.42578125" style="3"/>
    <col min="19" max="19" width="38.42578125" style="3" bestFit="1" customWidth="1"/>
    <col min="20" max="21" width="13.42578125" style="3" customWidth="1"/>
    <col min="22" max="23" width="15.5703125" style="3" customWidth="1"/>
    <col min="24" max="24" width="11.5703125" style="3" bestFit="1" customWidth="1"/>
    <col min="25" max="25" width="13" style="3" customWidth="1"/>
    <col min="26" max="27" width="12.7109375" style="3" customWidth="1"/>
    <col min="28" max="28" width="15.5703125" style="3" customWidth="1"/>
    <col min="29" max="16384" width="11.42578125" style="3"/>
  </cols>
  <sheetData>
    <row r="1" spans="2:25">
      <c r="B1" s="5" t="s">
        <v>101</v>
      </c>
      <c r="E1" s="5" t="s">
        <v>101</v>
      </c>
      <c r="M1" s="5" t="s">
        <v>101</v>
      </c>
      <c r="S1" s="5" t="s">
        <v>101</v>
      </c>
    </row>
    <row r="2" spans="2:25" s="28" customFormat="1">
      <c r="B2" s="3"/>
      <c r="C2" s="3"/>
      <c r="D2" s="144"/>
      <c r="E2" s="3"/>
      <c r="F2" s="3"/>
      <c r="G2" s="3"/>
      <c r="H2" s="3"/>
      <c r="I2" s="3"/>
      <c r="J2" s="3"/>
      <c r="K2" s="3"/>
      <c r="S2" s="3"/>
      <c r="T2" s="3"/>
      <c r="U2" s="3"/>
      <c r="V2" s="3"/>
    </row>
    <row r="3" spans="2:25" ht="30" customHeight="1">
      <c r="B3" s="164" t="s">
        <v>312</v>
      </c>
      <c r="C3" s="165" t="s">
        <v>371</v>
      </c>
      <c r="D3" s="144"/>
      <c r="E3" s="169" t="s">
        <v>86</v>
      </c>
      <c r="F3" s="592" t="str">
        <f>+'Cuadro Flujo'!C3</f>
        <v>Diciembre
2013</v>
      </c>
      <c r="G3" s="592"/>
      <c r="H3" s="592" t="str">
        <f>+'Cuadro Flujo'!D3</f>
        <v>Diciembre
2012</v>
      </c>
      <c r="I3" s="592"/>
      <c r="J3" s="593" t="str">
        <f>+'Cuadro Flujo'!E3</f>
        <v>Variación 
Dic 13 - Dic 12</v>
      </c>
      <c r="K3" s="594"/>
      <c r="M3" s="169" t="s">
        <v>105</v>
      </c>
      <c r="N3" s="170" t="str">
        <f>+F3</f>
        <v>Diciembre
2013</v>
      </c>
      <c r="O3" s="170" t="str">
        <f>+H3</f>
        <v>Diciembre
2012</v>
      </c>
      <c r="P3" s="593" t="str">
        <f>+J3</f>
        <v>Variación 
Dic 13 - Dic 12</v>
      </c>
      <c r="Q3" s="594"/>
      <c r="S3" s="198" t="s">
        <v>294</v>
      </c>
      <c r="T3" s="165" t="str">
        <f>+N3</f>
        <v>Diciembre
2013</v>
      </c>
      <c r="U3" s="165" t="str">
        <f>+O3</f>
        <v>Diciembre
2012</v>
      </c>
      <c r="V3" s="199" t="str">
        <f>+P3</f>
        <v>Variación 
Dic 13 - Dic 12</v>
      </c>
    </row>
    <row r="4" spans="2:25" s="135" customFormat="1" ht="17.25" customHeight="1">
      <c r="B4" s="64" t="s">
        <v>309</v>
      </c>
      <c r="C4" s="166"/>
      <c r="D4" s="144"/>
      <c r="E4" s="179"/>
      <c r="F4" s="44" t="s">
        <v>84</v>
      </c>
      <c r="G4" s="80" t="s">
        <v>74</v>
      </c>
      <c r="H4" s="44" t="s">
        <v>84</v>
      </c>
      <c r="I4" s="80" t="s">
        <v>74</v>
      </c>
      <c r="J4" s="44" t="s">
        <v>84</v>
      </c>
      <c r="K4" s="80" t="s">
        <v>74</v>
      </c>
      <c r="M4" s="186"/>
      <c r="N4" s="54" t="s">
        <v>84</v>
      </c>
      <c r="O4" s="54" t="s">
        <v>84</v>
      </c>
      <c r="P4" s="55" t="s">
        <v>84</v>
      </c>
      <c r="Q4" s="187" t="s">
        <v>74</v>
      </c>
      <c r="S4" s="149"/>
      <c r="T4" s="64"/>
      <c r="U4" s="64"/>
      <c r="V4" s="64"/>
    </row>
    <row r="5" spans="2:25" s="135" customFormat="1" ht="20.25" customHeight="1">
      <c r="B5" s="64" t="s">
        <v>311</v>
      </c>
      <c r="C5" s="166"/>
      <c r="D5" s="144"/>
      <c r="E5" s="183" t="s">
        <v>80</v>
      </c>
      <c r="F5" s="62"/>
      <c r="G5" s="136" t="e">
        <f>+ROUND(F5/$F$10,3)</f>
        <v>#DIV/0!</v>
      </c>
      <c r="H5" s="62"/>
      <c r="I5" s="136" t="e">
        <f>+ROUND(H5/$H$10,3)</f>
        <v>#DIV/0!</v>
      </c>
      <c r="J5" s="62">
        <f>+F5-H5</f>
        <v>0</v>
      </c>
      <c r="K5" s="160" t="e">
        <f>+ROUND(J5/H5,3)</f>
        <v>#DIV/0!</v>
      </c>
      <c r="M5" s="149" t="s">
        <v>137</v>
      </c>
      <c r="N5" s="442"/>
      <c r="O5" s="442"/>
      <c r="P5" s="23">
        <f>+N5-O5</f>
        <v>0</v>
      </c>
      <c r="Q5" s="188">
        <f>IF(O5=0,100%,(ROUND(P5/O5,3)))</f>
        <v>1</v>
      </c>
      <c r="S5" s="200" t="s">
        <v>99</v>
      </c>
      <c r="T5" s="60"/>
      <c r="U5" s="60"/>
      <c r="V5" s="160" t="e">
        <f>ROUND((T5/U5)-1,3)</f>
        <v>#DIV/0!</v>
      </c>
      <c r="W5" s="197">
        <f>+T5-U5</f>
        <v>0</v>
      </c>
      <c r="X5" s="154"/>
      <c r="Y5" s="155"/>
    </row>
    <row r="6" spans="2:25" s="135" customFormat="1" ht="20.25" customHeight="1">
      <c r="B6" s="167" t="s">
        <v>310</v>
      </c>
      <c r="C6" s="168"/>
      <c r="D6" s="144"/>
      <c r="E6" s="183" t="s">
        <v>81</v>
      </c>
      <c r="F6" s="62"/>
      <c r="G6" s="136" t="e">
        <f>+ROUND(F6/$F$10,3)</f>
        <v>#DIV/0!</v>
      </c>
      <c r="H6" s="62"/>
      <c r="I6" s="136" t="e">
        <f>+ROUND(H6/$H$10,3)</f>
        <v>#DIV/0!</v>
      </c>
      <c r="J6" s="62">
        <f>+F6-H6</f>
        <v>0</v>
      </c>
      <c r="K6" s="160" t="e">
        <f>+ROUND(J6/H6,3)</f>
        <v>#DIV/0!</v>
      </c>
      <c r="M6" s="149" t="s">
        <v>295</v>
      </c>
      <c r="N6" s="442"/>
      <c r="O6" s="442"/>
      <c r="P6" s="23">
        <f>+N6-O6</f>
        <v>0</v>
      </c>
      <c r="Q6" s="188">
        <f t="shared" ref="Q6:Q9" si="0">IF(O6=0,100%,(ROUND(P6/O6,3)))</f>
        <v>1</v>
      </c>
      <c r="S6" s="200" t="s">
        <v>149</v>
      </c>
      <c r="T6" s="60"/>
      <c r="U6" s="60"/>
      <c r="V6" s="160" t="e">
        <f t="shared" ref="V6:V8" si="1">ROUND((T6/U6)-1,3)</f>
        <v>#DIV/0!</v>
      </c>
      <c r="W6" s="197">
        <f t="shared" ref="W6:W8" si="2">+T6-U6</f>
        <v>0</v>
      </c>
      <c r="X6" s="154"/>
      <c r="Y6" s="155"/>
    </row>
    <row r="7" spans="2:25" s="135" customFormat="1" ht="20.25" customHeight="1">
      <c r="D7" s="144"/>
      <c r="E7" s="183" t="s">
        <v>82</v>
      </c>
      <c r="F7" s="62"/>
      <c r="G7" s="136" t="e">
        <f>+ROUND(F7/$F$10,3)</f>
        <v>#DIV/0!</v>
      </c>
      <c r="H7" s="62"/>
      <c r="I7" s="136" t="e">
        <f>+ROUND(H7/$H$10,3)</f>
        <v>#DIV/0!</v>
      </c>
      <c r="J7" s="62">
        <f>+F7-H7</f>
        <v>0</v>
      </c>
      <c r="K7" s="160" t="e">
        <f>+ROUND(J7/H7,3)</f>
        <v>#DIV/0!</v>
      </c>
      <c r="M7" s="149" t="s">
        <v>330</v>
      </c>
      <c r="N7" s="442"/>
      <c r="O7" s="442"/>
      <c r="P7" s="23">
        <f>+N7-O7</f>
        <v>0</v>
      </c>
      <c r="Q7" s="188">
        <f t="shared" si="0"/>
        <v>1</v>
      </c>
      <c r="S7" s="200" t="s">
        <v>150</v>
      </c>
      <c r="T7" s="60"/>
      <c r="U7" s="60"/>
      <c r="V7" s="160" t="e">
        <f t="shared" si="1"/>
        <v>#DIV/0!</v>
      </c>
      <c r="W7" s="197">
        <f t="shared" si="2"/>
        <v>0</v>
      </c>
      <c r="X7" s="154"/>
      <c r="Y7" s="155"/>
    </row>
    <row r="8" spans="2:25" s="135" customFormat="1" ht="21" customHeight="1">
      <c r="D8" s="145"/>
      <c r="E8" s="183" t="s">
        <v>83</v>
      </c>
      <c r="F8" s="62"/>
      <c r="G8" s="136" t="e">
        <f>+ROUND(F8/$F$10,3)-0.1%</f>
        <v>#DIV/0!</v>
      </c>
      <c r="H8" s="62"/>
      <c r="I8" s="136" t="e">
        <f>+ROUND(H8/$H$10,3)-0.1%</f>
        <v>#DIV/0!</v>
      </c>
      <c r="J8" s="62">
        <f>+F8-H8</f>
        <v>0</v>
      </c>
      <c r="K8" s="160" t="e">
        <f>+ROUND(J8/H8,3)</f>
        <v>#DIV/0!</v>
      </c>
      <c r="M8" s="149" t="s">
        <v>308</v>
      </c>
      <c r="N8" s="442"/>
      <c r="O8" s="442"/>
      <c r="P8" s="23">
        <f>+N8-O8</f>
        <v>0</v>
      </c>
      <c r="Q8" s="188">
        <f t="shared" si="0"/>
        <v>1</v>
      </c>
      <c r="S8" s="200" t="s">
        <v>151</v>
      </c>
      <c r="T8" s="60"/>
      <c r="U8" s="60"/>
      <c r="V8" s="160" t="e">
        <f t="shared" si="1"/>
        <v>#DIV/0!</v>
      </c>
      <c r="W8" s="197">
        <f t="shared" si="2"/>
        <v>0</v>
      </c>
      <c r="X8" s="154"/>
      <c r="Y8" s="155"/>
    </row>
    <row r="9" spans="2:25" s="135" customFormat="1" ht="17.25" customHeight="1">
      <c r="B9" s="3"/>
      <c r="D9" s="145"/>
      <c r="E9" s="183"/>
      <c r="F9" s="62"/>
      <c r="G9" s="136"/>
      <c r="H9" s="62"/>
      <c r="I9" s="136"/>
      <c r="J9" s="62"/>
      <c r="K9" s="160"/>
      <c r="M9" s="161" t="s">
        <v>106</v>
      </c>
      <c r="N9" s="189">
        <f>SUM(N5:N8)</f>
        <v>0</v>
      </c>
      <c r="O9" s="189">
        <f>SUM(O5:O8)</f>
        <v>0</v>
      </c>
      <c r="P9" s="189">
        <f>+N9-O9</f>
        <v>0</v>
      </c>
      <c r="Q9" s="190">
        <f t="shared" si="0"/>
        <v>1</v>
      </c>
      <c r="S9" s="201"/>
      <c r="T9" s="61"/>
      <c r="U9" s="61"/>
      <c r="V9" s="192"/>
      <c r="X9" s="71"/>
    </row>
    <row r="10" spans="2:25" s="135" customFormat="1" ht="21.75" customHeight="1">
      <c r="B10" s="153"/>
      <c r="D10" s="145"/>
      <c r="E10" s="184" t="s">
        <v>85</v>
      </c>
      <c r="F10" s="63">
        <f>SUM(F5:F9)</f>
        <v>0</v>
      </c>
      <c r="G10" s="185" t="e">
        <f>SUM(G5:G9)</f>
        <v>#DIV/0!</v>
      </c>
      <c r="H10" s="63">
        <f>SUM(H5:H9)</f>
        <v>0</v>
      </c>
      <c r="I10" s="185" t="e">
        <f>SUM(I5:I9)</f>
        <v>#DIV/0!</v>
      </c>
      <c r="J10" s="63">
        <f>SUM(J5:J9)</f>
        <v>0</v>
      </c>
      <c r="K10" s="185" t="e">
        <f>+ROUND(J10/H10,3)</f>
        <v>#DIV/0!</v>
      </c>
    </row>
    <row r="11" spans="2:25" s="135" customFormat="1" ht="18.75" customHeight="1">
      <c r="B11" s="153"/>
      <c r="D11" s="145"/>
      <c r="F11" s="137">
        <f>+'Cuadro Resultado'!C5</f>
        <v>402791</v>
      </c>
      <c r="G11" s="138"/>
      <c r="H11" s="137">
        <f>+'Cuadro Resultado'!D5</f>
        <v>383027</v>
      </c>
    </row>
    <row r="12" spans="2:25" s="135" customFormat="1" ht="18.75" customHeight="1">
      <c r="D12" s="145"/>
      <c r="F12" s="137">
        <f>+F10-F11</f>
        <v>-402791</v>
      </c>
      <c r="G12" s="138"/>
      <c r="H12" s="137">
        <f>+H10-H11</f>
        <v>-383027</v>
      </c>
      <c r="S12" s="139" t="s">
        <v>101</v>
      </c>
    </row>
    <row r="13" spans="2:25" s="135" customFormat="1" ht="18.75" customHeight="1">
      <c r="D13" s="145"/>
    </row>
    <row r="14" spans="2:25" s="135" customFormat="1" ht="30" customHeight="1">
      <c r="D14" s="145"/>
      <c r="M14" s="140"/>
      <c r="S14" s="169" t="s">
        <v>116</v>
      </c>
      <c r="T14" s="165" t="str">
        <f>+T3</f>
        <v>Diciembre
2013</v>
      </c>
      <c r="U14" s="165" t="str">
        <f>+U3</f>
        <v>Diciembre
2012</v>
      </c>
      <c r="V14" s="199" t="str">
        <f>+V3</f>
        <v>Variación 
Dic 13 - Dic 12</v>
      </c>
    </row>
    <row r="15" spans="2:25" s="135" customFormat="1" ht="20.25" customHeight="1" thickBot="1">
      <c r="D15" s="145"/>
      <c r="M15" s="141"/>
      <c r="S15" s="202" t="s">
        <v>5</v>
      </c>
      <c r="T15" s="60"/>
      <c r="U15" s="60"/>
      <c r="V15" s="60"/>
    </row>
    <row r="16" spans="2:25" s="135" customFormat="1" ht="18.75" customHeight="1" thickBot="1">
      <c r="D16" s="145"/>
      <c r="E16" s="6" t="s">
        <v>317</v>
      </c>
      <c r="F16" s="595">
        <v>2013</v>
      </c>
      <c r="G16" s="596"/>
      <c r="H16" s="596">
        <v>2012</v>
      </c>
      <c r="I16" s="596"/>
      <c r="J16" s="596" t="s">
        <v>318</v>
      </c>
      <c r="K16" s="597"/>
      <c r="M16" s="6" t="s">
        <v>324</v>
      </c>
      <c r="N16" s="444">
        <v>2013</v>
      </c>
      <c r="O16" s="445">
        <v>2012</v>
      </c>
      <c r="P16" s="596" t="s">
        <v>318</v>
      </c>
      <c r="Q16" s="597"/>
      <c r="S16" s="183" t="s">
        <v>99</v>
      </c>
      <c r="T16" s="60"/>
      <c r="U16" s="60"/>
      <c r="V16" s="160" t="e">
        <f t="shared" ref="V16:V17" si="3">ROUND((T16/U16)-1,3)</f>
        <v>#DIV/0!</v>
      </c>
    </row>
    <row r="17" spans="2:26" s="135" customFormat="1" ht="18.75" customHeight="1">
      <c r="D17" s="145"/>
      <c r="E17" s="446"/>
      <c r="F17" s="443" t="s">
        <v>9</v>
      </c>
      <c r="G17" s="447" t="s">
        <v>74</v>
      </c>
      <c r="H17" s="443" t="s">
        <v>9</v>
      </c>
      <c r="I17" s="448" t="s">
        <v>74</v>
      </c>
      <c r="J17" s="443" t="s">
        <v>84</v>
      </c>
      <c r="K17" s="448" t="s">
        <v>74</v>
      </c>
      <c r="M17" s="457" t="s">
        <v>325</v>
      </c>
      <c r="N17" s="443" t="s">
        <v>9</v>
      </c>
      <c r="O17" s="443" t="s">
        <v>9</v>
      </c>
      <c r="P17" s="443" t="s">
        <v>9</v>
      </c>
      <c r="Q17" s="447" t="s">
        <v>74</v>
      </c>
      <c r="S17" s="183" t="s">
        <v>149</v>
      </c>
      <c r="T17" s="60"/>
      <c r="U17" s="60"/>
      <c r="V17" s="160" t="e">
        <f t="shared" si="3"/>
        <v>#DIV/0!</v>
      </c>
    </row>
    <row r="18" spans="2:26" s="135" customFormat="1" ht="18.75" customHeight="1">
      <c r="D18" s="145"/>
      <c r="E18" s="449" t="s">
        <v>319</v>
      </c>
      <c r="F18" s="450"/>
      <c r="G18" s="451"/>
      <c r="H18" s="450"/>
      <c r="I18" s="451"/>
      <c r="J18" s="452"/>
      <c r="K18" s="451"/>
      <c r="M18" s="458" t="s">
        <v>326</v>
      </c>
      <c r="N18" s="450"/>
      <c r="O18" s="450"/>
      <c r="P18" s="450"/>
      <c r="Q18" s="451"/>
      <c r="S18" s="201"/>
      <c r="T18" s="61"/>
      <c r="U18" s="61"/>
      <c r="V18" s="192"/>
    </row>
    <row r="19" spans="2:26" s="135" customFormat="1" ht="22.5" customHeight="1">
      <c r="D19" s="145"/>
      <c r="E19" s="449" t="s">
        <v>320</v>
      </c>
      <c r="F19" s="450"/>
      <c r="G19" s="451"/>
      <c r="H19" s="450"/>
      <c r="I19" s="451"/>
      <c r="J19" s="452"/>
      <c r="K19" s="453"/>
      <c r="M19" s="458" t="s">
        <v>346</v>
      </c>
      <c r="N19" s="450"/>
      <c r="O19" s="450"/>
      <c r="P19" s="34"/>
      <c r="Q19" s="451"/>
    </row>
    <row r="20" spans="2:26" s="135" customFormat="1" ht="18.75" customHeight="1">
      <c r="D20" s="145"/>
      <c r="E20" s="449" t="s">
        <v>321</v>
      </c>
      <c r="F20" s="450"/>
      <c r="G20" s="451"/>
      <c r="H20" s="450"/>
      <c r="I20" s="451"/>
      <c r="J20" s="452"/>
      <c r="K20" s="453"/>
      <c r="M20" s="458" t="s">
        <v>327</v>
      </c>
      <c r="N20" s="450"/>
      <c r="O20" s="450"/>
      <c r="P20" s="34"/>
      <c r="Q20" s="451"/>
    </row>
    <row r="21" spans="2:26" s="135" customFormat="1" ht="23.25" customHeight="1">
      <c r="D21" s="145"/>
      <c r="E21" s="449" t="s">
        <v>322</v>
      </c>
      <c r="F21" s="450"/>
      <c r="G21" s="451"/>
      <c r="H21" s="450"/>
      <c r="I21" s="451"/>
      <c r="J21" s="452"/>
      <c r="K21" s="453"/>
      <c r="M21" s="458" t="s">
        <v>328</v>
      </c>
      <c r="N21" s="34"/>
      <c r="O21" s="34"/>
      <c r="P21" s="34"/>
      <c r="Q21" s="459"/>
    </row>
    <row r="22" spans="2:26" s="135" customFormat="1" ht="18.75" customHeight="1" thickBot="1">
      <c r="D22" s="145"/>
      <c r="E22" s="454" t="s">
        <v>323</v>
      </c>
      <c r="F22" s="455"/>
      <c r="G22" s="456"/>
      <c r="H22" s="455"/>
      <c r="I22" s="456"/>
      <c r="J22" s="455"/>
      <c r="K22" s="456"/>
      <c r="M22" s="454" t="s">
        <v>329</v>
      </c>
      <c r="N22" s="455"/>
      <c r="O22" s="455"/>
      <c r="P22" s="455"/>
      <c r="Q22" s="456"/>
    </row>
    <row r="23" spans="2:26" s="135" customFormat="1" ht="21" customHeight="1">
      <c r="D23" s="145"/>
    </row>
    <row r="24" spans="2:26" s="135" customFormat="1" ht="27" customHeight="1">
      <c r="D24" s="145"/>
      <c r="F24" s="140"/>
      <c r="H24" s="140"/>
    </row>
    <row r="25" spans="2:26" s="135" customFormat="1" ht="18.75" customHeight="1">
      <c r="B25" s="3"/>
      <c r="C25" s="3"/>
      <c r="D25" s="145"/>
    </row>
    <row r="26" spans="2:26" ht="18.75" customHeight="1">
      <c r="M26" s="135"/>
      <c r="N26" s="135"/>
      <c r="O26" s="135"/>
      <c r="P26" s="135"/>
      <c r="Q26" s="135"/>
    </row>
    <row r="27" spans="2:26" ht="18.75" customHeight="1"/>
    <row r="28" spans="2:26" ht="18.75" customHeight="1"/>
    <row r="29" spans="2:26" ht="24" customHeight="1">
      <c r="T29" s="20"/>
      <c r="U29" s="2"/>
      <c r="V29" s="2"/>
      <c r="W29" s="2"/>
    </row>
    <row r="30" spans="2:26" ht="18.75" customHeight="1">
      <c r="T30" s="7"/>
      <c r="U30" s="2"/>
      <c r="V30" s="2"/>
      <c r="W30" s="2"/>
      <c r="X30" s="2"/>
      <c r="Y30" s="2"/>
      <c r="Z30" s="2"/>
    </row>
    <row r="31" spans="2:26" ht="18.75" customHeight="1">
      <c r="T31" s="7"/>
      <c r="U31" s="7"/>
      <c r="V31" s="7"/>
      <c r="W31" s="2"/>
      <c r="X31" s="2"/>
      <c r="Y31" s="2"/>
      <c r="Z31" s="2"/>
    </row>
    <row r="32" spans="2:26">
      <c r="B32" s="28"/>
      <c r="C32" s="28"/>
      <c r="E32" s="28"/>
      <c r="F32" s="30" t="e">
        <f>+F10-#REF!</f>
        <v>#REF!</v>
      </c>
      <c r="G32" s="28"/>
      <c r="H32" s="30" t="e">
        <f>+H10-#REF!</f>
        <v>#REF!</v>
      </c>
      <c r="I32" s="28"/>
      <c r="J32" s="28"/>
      <c r="K32" s="28"/>
      <c r="T32" s="20"/>
      <c r="U32" s="2"/>
      <c r="V32" s="2"/>
      <c r="W32" s="2"/>
      <c r="X32" s="2"/>
      <c r="Y32" s="2"/>
      <c r="Z32" s="2"/>
    </row>
    <row r="33" spans="2:26" s="28" customFormat="1">
      <c r="B33" s="3"/>
      <c r="C33" s="3"/>
      <c r="E33" s="3"/>
      <c r="F33" s="3"/>
      <c r="G33" s="3"/>
      <c r="H33" s="3"/>
      <c r="I33" s="3"/>
      <c r="J33" s="3"/>
      <c r="K33" s="3"/>
      <c r="T33" s="31"/>
      <c r="U33" s="32"/>
      <c r="V33" s="32"/>
      <c r="W33" s="32"/>
      <c r="X33" s="31"/>
      <c r="Y33" s="31"/>
      <c r="Z33" s="33"/>
    </row>
    <row r="34" spans="2:26">
      <c r="T34" s="20"/>
      <c r="U34" s="2"/>
      <c r="V34" s="22"/>
      <c r="W34" s="22"/>
      <c r="X34" s="20"/>
      <c r="Y34" s="22"/>
      <c r="Z34" s="2"/>
    </row>
    <row r="35" spans="2:26">
      <c r="T35" s="20"/>
      <c r="U35" s="2"/>
      <c r="V35" s="22"/>
      <c r="W35" s="22"/>
      <c r="X35" s="2"/>
      <c r="Y35" s="2"/>
      <c r="Z35" s="2"/>
    </row>
    <row r="36" spans="2:26">
      <c r="T36" s="7"/>
      <c r="U36" s="2"/>
      <c r="V36" s="2"/>
      <c r="W36" s="2"/>
      <c r="X36" s="2"/>
      <c r="Y36" s="2"/>
      <c r="Z36" s="2"/>
    </row>
    <row r="37" spans="2:26">
      <c r="T37" s="7"/>
      <c r="U37" s="2"/>
      <c r="V37" s="2"/>
      <c r="W37" s="2"/>
      <c r="X37" s="2"/>
      <c r="Y37" s="2"/>
      <c r="Z37" s="2"/>
    </row>
    <row r="38" spans="2:26">
      <c r="T38" s="7"/>
      <c r="U38" s="2"/>
      <c r="V38" s="2"/>
      <c r="W38" s="2"/>
      <c r="X38" s="2"/>
      <c r="Y38" s="2"/>
      <c r="Z38" s="2"/>
    </row>
    <row r="39" spans="2:26">
      <c r="T39" s="21"/>
      <c r="U39" s="2"/>
      <c r="V39" s="2"/>
      <c r="W39" s="2"/>
      <c r="X39" s="7"/>
      <c r="Y39" s="7"/>
      <c r="Z39" s="2"/>
    </row>
    <row r="40" spans="2:26">
      <c r="T40" s="20"/>
      <c r="U40" s="2"/>
      <c r="V40" s="2"/>
      <c r="W40" s="2"/>
      <c r="X40" s="2"/>
      <c r="Y40" s="2"/>
      <c r="Z40" s="2"/>
    </row>
    <row r="41" spans="2:26">
      <c r="T41" s="20"/>
      <c r="U41" s="2"/>
      <c r="V41" s="2"/>
      <c r="W41" s="2"/>
      <c r="X41" s="20"/>
      <c r="Y41" s="2"/>
      <c r="Z41" s="2"/>
    </row>
    <row r="42" spans="2:26">
      <c r="X42" s="20"/>
      <c r="Y42" s="2"/>
      <c r="Z42" s="2"/>
    </row>
  </sheetData>
  <mergeCells count="8">
    <mergeCell ref="F3:G3"/>
    <mergeCell ref="H3:I3"/>
    <mergeCell ref="J3:K3"/>
    <mergeCell ref="P3:Q3"/>
    <mergeCell ref="F16:G16"/>
    <mergeCell ref="H16:I16"/>
    <mergeCell ref="J16:K16"/>
    <mergeCell ref="P16:Q16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  <ignoredErrors>
    <ignoredError sqref="G5:G7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55"/>
  <sheetViews>
    <sheetView showGridLines="0" tabSelected="1" topLeftCell="A85" workbookViewId="0">
      <selection activeCell="H94" sqref="H94"/>
    </sheetView>
  </sheetViews>
  <sheetFormatPr baseColWidth="10" defaultRowHeight="12"/>
  <cols>
    <col min="1" max="1" width="11.42578125" style="542"/>
    <col min="2" max="2" width="48.85546875" style="542" bestFit="1" customWidth="1"/>
    <col min="3" max="6" width="11.42578125" style="542"/>
    <col min="7" max="7" width="12.7109375" style="542" bestFit="1" customWidth="1"/>
    <col min="8" max="8" width="15.7109375" style="542" bestFit="1" customWidth="1"/>
    <col min="9" max="9" width="11.42578125" style="542"/>
    <col min="10" max="10" width="14.85546875" style="542" bestFit="1" customWidth="1"/>
    <col min="11" max="16384" width="11.42578125" style="542"/>
  </cols>
  <sheetData>
    <row r="1" spans="1:10">
      <c r="B1" s="574"/>
    </row>
    <row r="3" spans="1:10" ht="12.75" thickBot="1">
      <c r="B3" s="494" t="s">
        <v>483</v>
      </c>
      <c r="C3" s="501" t="s">
        <v>409</v>
      </c>
      <c r="D3" s="501" t="s">
        <v>410</v>
      </c>
      <c r="E3" s="501" t="s">
        <v>376</v>
      </c>
      <c r="F3" s="543"/>
      <c r="G3" s="548" t="s">
        <v>411</v>
      </c>
    </row>
    <row r="4" spans="1:10">
      <c r="A4" s="495"/>
      <c r="B4" s="495" t="s">
        <v>413</v>
      </c>
      <c r="C4" s="496">
        <v>402791</v>
      </c>
      <c r="D4" s="496">
        <v>383027</v>
      </c>
      <c r="E4" s="510">
        <v>5.1999999999999998E-2</v>
      </c>
      <c r="F4" s="543"/>
      <c r="G4" s="496">
        <v>19764</v>
      </c>
      <c r="I4" s="550"/>
      <c r="J4" s="550"/>
    </row>
    <row r="5" spans="1:10">
      <c r="A5" s="495"/>
      <c r="B5" s="495" t="s">
        <v>414</v>
      </c>
      <c r="C5" s="496">
        <v>-156378</v>
      </c>
      <c r="D5" s="496">
        <v>-141510</v>
      </c>
      <c r="E5" s="510">
        <v>0.105</v>
      </c>
      <c r="F5" s="543"/>
      <c r="G5" s="496">
        <v>-14868</v>
      </c>
      <c r="I5" s="550"/>
      <c r="J5" s="550"/>
    </row>
    <row r="6" spans="1:10">
      <c r="A6" s="495"/>
      <c r="B6" s="495" t="s">
        <v>378</v>
      </c>
      <c r="C6" s="496">
        <v>246413</v>
      </c>
      <c r="D6" s="496">
        <v>241517</v>
      </c>
      <c r="E6" s="510">
        <v>0.02</v>
      </c>
      <c r="F6" s="543"/>
      <c r="G6" s="496">
        <v>4896</v>
      </c>
      <c r="I6" s="550"/>
      <c r="J6" s="550"/>
    </row>
    <row r="7" spans="1:10">
      <c r="A7" s="495"/>
      <c r="B7" s="495" t="s">
        <v>415</v>
      </c>
      <c r="C7" s="496">
        <v>-64721</v>
      </c>
      <c r="D7" s="496">
        <v>-55225</v>
      </c>
      <c r="E7" s="510">
        <v>0.17199999999999999</v>
      </c>
      <c r="F7" s="543"/>
      <c r="G7" s="496">
        <v>-9496</v>
      </c>
      <c r="I7" s="551"/>
    </row>
    <row r="8" spans="1:10">
      <c r="A8" s="495"/>
      <c r="B8" s="495" t="s">
        <v>416</v>
      </c>
      <c r="C8" s="496">
        <v>181692</v>
      </c>
      <c r="D8" s="496">
        <v>186292</v>
      </c>
      <c r="E8" s="510">
        <v>-2.5000000000000001E-2</v>
      </c>
      <c r="F8" s="543"/>
      <c r="G8" s="496">
        <v>-4600</v>
      </c>
    </row>
    <row r="9" spans="1:10">
      <c r="A9" s="495"/>
      <c r="B9" s="495" t="s">
        <v>484</v>
      </c>
      <c r="C9" s="496">
        <v>-34787</v>
      </c>
      <c r="D9" s="496">
        <v>-29696</v>
      </c>
      <c r="E9" s="510">
        <v>0.17100000000000001</v>
      </c>
      <c r="F9" s="543"/>
      <c r="G9" s="496">
        <v>-5091</v>
      </c>
    </row>
    <row r="10" spans="1:10">
      <c r="A10" s="495"/>
      <c r="B10" s="495" t="s">
        <v>417</v>
      </c>
      <c r="C10" s="496">
        <v>57648</v>
      </c>
      <c r="D10" s="496">
        <v>60214</v>
      </c>
      <c r="E10" s="510">
        <v>-4.2999999999999997E-2</v>
      </c>
      <c r="F10" s="543"/>
      <c r="G10" s="496">
        <v>-2566</v>
      </c>
    </row>
    <row r="13" spans="1:10">
      <c r="B13" s="574"/>
    </row>
    <row r="14" spans="1:10" ht="12.75" thickBot="1">
      <c r="B14" s="544"/>
      <c r="C14" s="598" t="s">
        <v>409</v>
      </c>
      <c r="D14" s="598"/>
      <c r="E14" s="544"/>
      <c r="F14" s="598" t="s">
        <v>410</v>
      </c>
      <c r="G14" s="598"/>
      <c r="H14" s="544"/>
      <c r="I14" s="598" t="s">
        <v>412</v>
      </c>
      <c r="J14" s="598"/>
    </row>
    <row r="15" spans="1:10">
      <c r="B15" s="544"/>
      <c r="C15" s="497" t="s">
        <v>384</v>
      </c>
      <c r="D15" s="599" t="s">
        <v>385</v>
      </c>
      <c r="E15" s="544"/>
      <c r="F15" s="497" t="s">
        <v>384</v>
      </c>
      <c r="G15" s="599" t="s">
        <v>385</v>
      </c>
      <c r="H15" s="544"/>
      <c r="I15" s="599" t="s">
        <v>84</v>
      </c>
      <c r="J15" s="599" t="s">
        <v>74</v>
      </c>
    </row>
    <row r="16" spans="1:10" ht="12.75" thickBot="1">
      <c r="B16" s="544"/>
      <c r="C16" s="501" t="s">
        <v>84</v>
      </c>
      <c r="D16" s="600"/>
      <c r="E16" s="544"/>
      <c r="F16" s="501" t="s">
        <v>84</v>
      </c>
      <c r="G16" s="600"/>
      <c r="H16" s="544"/>
      <c r="I16" s="600"/>
      <c r="J16" s="600"/>
    </row>
    <row r="17" spans="2:10">
      <c r="B17" s="495" t="s">
        <v>418</v>
      </c>
      <c r="C17" s="496">
        <v>157307</v>
      </c>
      <c r="D17" s="510">
        <v>0.39100000000000001</v>
      </c>
      <c r="E17" s="544"/>
      <c r="F17" s="496">
        <v>152918</v>
      </c>
      <c r="G17" s="510">
        <v>0.39900000000000002</v>
      </c>
      <c r="H17" s="544"/>
      <c r="I17" s="496">
        <v>4389</v>
      </c>
      <c r="J17" s="510">
        <v>2.9000000000000001E-2</v>
      </c>
    </row>
    <row r="18" spans="2:10">
      <c r="B18" s="495" t="s">
        <v>419</v>
      </c>
      <c r="C18" s="496">
        <v>184299</v>
      </c>
      <c r="D18" s="510">
        <v>0.45800000000000002</v>
      </c>
      <c r="E18" s="544"/>
      <c r="F18" s="496">
        <v>174839</v>
      </c>
      <c r="G18" s="510">
        <v>0.45600000000000002</v>
      </c>
      <c r="H18" s="544"/>
      <c r="I18" s="496">
        <v>9460</v>
      </c>
      <c r="J18" s="510">
        <v>5.3999999999999999E-2</v>
      </c>
    </row>
    <row r="19" spans="2:10">
      <c r="B19" s="495" t="s">
        <v>420</v>
      </c>
      <c r="C19" s="496">
        <v>16067</v>
      </c>
      <c r="D19" s="510">
        <v>0.04</v>
      </c>
      <c r="E19" s="544"/>
      <c r="F19" s="496">
        <v>14948</v>
      </c>
      <c r="G19" s="510">
        <v>3.9E-2</v>
      </c>
      <c r="H19" s="544"/>
      <c r="I19" s="496">
        <v>1119</v>
      </c>
      <c r="J19" s="510">
        <v>7.4999999999999997E-2</v>
      </c>
    </row>
    <row r="20" spans="2:10" ht="12.75" thickBot="1">
      <c r="B20" s="495" t="s">
        <v>421</v>
      </c>
      <c r="C20" s="498">
        <v>45118</v>
      </c>
      <c r="D20" s="511">
        <v>0.111</v>
      </c>
      <c r="E20" s="544"/>
      <c r="F20" s="498">
        <v>40322</v>
      </c>
      <c r="G20" s="511">
        <v>0.106</v>
      </c>
      <c r="H20" s="544"/>
      <c r="I20" s="498">
        <v>4796</v>
      </c>
      <c r="J20" s="511">
        <v>0.11899999999999999</v>
      </c>
    </row>
    <row r="21" spans="2:10" ht="12.75" thickTop="1">
      <c r="B21" s="499" t="s">
        <v>386</v>
      </c>
      <c r="C21" s="500">
        <v>402791</v>
      </c>
      <c r="D21" s="510">
        <v>1</v>
      </c>
      <c r="E21" s="544"/>
      <c r="F21" s="500">
        <v>383027</v>
      </c>
      <c r="G21" s="510">
        <v>1</v>
      </c>
      <c r="H21" s="544"/>
      <c r="I21" s="500">
        <v>19764</v>
      </c>
      <c r="J21" s="510">
        <v>5.1999999999999998E-2</v>
      </c>
    </row>
    <row r="24" spans="2:10" ht="15.75" thickBot="1">
      <c r="B24" s="494" t="s">
        <v>422</v>
      </c>
      <c r="C24" s="549" t="s">
        <v>409</v>
      </c>
      <c r="D24" s="549" t="s">
        <v>410</v>
      </c>
      <c r="E24" s="549" t="s">
        <v>376</v>
      </c>
      <c r="F24" s="552"/>
      <c r="G24" s="549" t="s">
        <v>411</v>
      </c>
    </row>
    <row r="25" spans="2:10" ht="15">
      <c r="B25" s="495" t="s">
        <v>418</v>
      </c>
      <c r="C25" s="496">
        <v>548631</v>
      </c>
      <c r="D25" s="496">
        <v>539178</v>
      </c>
      <c r="E25" s="510">
        <v>1.7999999999999999E-2</v>
      </c>
      <c r="F25" s="552"/>
      <c r="G25" s="496">
        <v>9453</v>
      </c>
    </row>
    <row r="26" spans="2:10" ht="15">
      <c r="B26" s="495" t="s">
        <v>423</v>
      </c>
      <c r="C26" s="496">
        <v>533864</v>
      </c>
      <c r="D26" s="496">
        <v>526545</v>
      </c>
      <c r="E26" s="510">
        <v>1.4E-2</v>
      </c>
      <c r="F26" s="552"/>
      <c r="G26" s="496">
        <v>7319</v>
      </c>
    </row>
    <row r="27" spans="2:10" ht="15">
      <c r="B27" s="495" t="s">
        <v>424</v>
      </c>
      <c r="C27" s="496">
        <v>466732</v>
      </c>
      <c r="D27" s="496">
        <v>460351</v>
      </c>
      <c r="E27" s="510">
        <v>1.4E-2</v>
      </c>
      <c r="F27" s="552"/>
      <c r="G27" s="496">
        <v>6381</v>
      </c>
    </row>
    <row r="28" spans="2:10" ht="15">
      <c r="B28" s="552"/>
      <c r="C28" s="552"/>
      <c r="D28" s="552"/>
      <c r="E28" s="552"/>
      <c r="F28" s="552"/>
      <c r="G28" s="552"/>
    </row>
    <row r="29" spans="2:10" ht="15.75" thickBot="1">
      <c r="B29" s="494" t="s">
        <v>425</v>
      </c>
      <c r="C29" s="553" t="s">
        <v>409</v>
      </c>
      <c r="D29" s="553" t="s">
        <v>410</v>
      </c>
      <c r="E29" s="553" t="s">
        <v>376</v>
      </c>
      <c r="F29" s="552"/>
      <c r="G29" s="553" t="s">
        <v>411</v>
      </c>
    </row>
    <row r="30" spans="2:10" ht="15">
      <c r="B30" s="495" t="s">
        <v>418</v>
      </c>
      <c r="C30" s="496">
        <v>2039298</v>
      </c>
      <c r="D30" s="496">
        <v>1984132</v>
      </c>
      <c r="E30" s="510">
        <v>2.8000000000000001E-2</v>
      </c>
      <c r="F30" s="552"/>
      <c r="G30" s="496">
        <v>55166</v>
      </c>
    </row>
    <row r="31" spans="2:10" ht="15">
      <c r="B31" s="495" t="s">
        <v>423</v>
      </c>
      <c r="C31" s="496">
        <v>1999419</v>
      </c>
      <c r="D31" s="496">
        <v>1943788</v>
      </c>
      <c r="E31" s="510">
        <v>2.9000000000000001E-2</v>
      </c>
      <c r="F31" s="552"/>
      <c r="G31" s="496">
        <v>55631</v>
      </c>
    </row>
    <row r="32" spans="2:10" ht="15">
      <c r="B32" s="552"/>
      <c r="C32" s="552"/>
      <c r="D32" s="552"/>
      <c r="E32" s="552"/>
      <c r="F32" s="552"/>
      <c r="G32" s="552"/>
    </row>
    <row r="34" spans="2:9" ht="12.75" thickBot="1">
      <c r="B34" s="556" t="s">
        <v>403</v>
      </c>
      <c r="C34" s="555" t="s">
        <v>409</v>
      </c>
      <c r="D34" s="555" t="s">
        <v>410</v>
      </c>
      <c r="E34" s="555" t="s">
        <v>404</v>
      </c>
      <c r="F34" s="565"/>
      <c r="G34" s="566"/>
      <c r="H34" s="565"/>
    </row>
    <row r="35" spans="2:9" ht="15.75">
      <c r="B35" s="560" t="s">
        <v>405</v>
      </c>
      <c r="C35" s="557">
        <v>9558</v>
      </c>
      <c r="D35" s="557">
        <v>7863</v>
      </c>
      <c r="E35" s="575">
        <v>0.216</v>
      </c>
      <c r="F35" s="564"/>
      <c r="G35" s="554"/>
    </row>
    <row r="36" spans="2:9" ht="15.75">
      <c r="B36" s="560" t="s">
        <v>295</v>
      </c>
      <c r="C36" s="558">
        <v>10981</v>
      </c>
      <c r="D36" s="558">
        <v>11137</v>
      </c>
      <c r="E36" s="576">
        <v>-1.4E-2</v>
      </c>
      <c r="F36" s="559"/>
      <c r="G36" s="554"/>
    </row>
    <row r="37" spans="2:9" ht="15.75">
      <c r="B37" s="560" t="s">
        <v>406</v>
      </c>
      <c r="C37" s="558">
        <v>2654</v>
      </c>
      <c r="D37" s="558">
        <v>2164</v>
      </c>
      <c r="E37" s="576">
        <v>0.22600000000000001</v>
      </c>
      <c r="F37" s="559"/>
      <c r="G37" s="554"/>
    </row>
    <row r="38" spans="2:9" ht="15.75">
      <c r="B38" s="560" t="s">
        <v>308</v>
      </c>
      <c r="C38" s="560">
        <v>761</v>
      </c>
      <c r="D38" s="560">
        <v>0</v>
      </c>
      <c r="E38" s="576">
        <v>1</v>
      </c>
      <c r="F38" s="559"/>
      <c r="G38" s="554"/>
    </row>
    <row r="39" spans="2:9" ht="15.75">
      <c r="B39" s="563" t="s">
        <v>106</v>
      </c>
      <c r="C39" s="561">
        <v>23954</v>
      </c>
      <c r="D39" s="561">
        <v>21164</v>
      </c>
      <c r="E39" s="577">
        <v>0.13200000000000001</v>
      </c>
      <c r="F39" s="562"/>
      <c r="G39" s="554"/>
    </row>
    <row r="42" spans="2:9">
      <c r="B42" s="541" t="s">
        <v>426</v>
      </c>
      <c r="C42" s="545"/>
      <c r="F42" s="545"/>
      <c r="I42" s="545"/>
    </row>
    <row r="43" spans="2:9" ht="12.75" thickBot="1">
      <c r="B43" s="544"/>
      <c r="C43" s="501" t="s">
        <v>409</v>
      </c>
      <c r="D43" s="501" t="s">
        <v>410</v>
      </c>
      <c r="E43" s="603" t="s">
        <v>376</v>
      </c>
      <c r="I43" s="545"/>
    </row>
    <row r="44" spans="2:9" ht="12.75" thickBot="1">
      <c r="B44" s="546"/>
      <c r="C44" s="501" t="s">
        <v>84</v>
      </c>
      <c r="D44" s="501" t="s">
        <v>84</v>
      </c>
      <c r="E44" s="600"/>
      <c r="I44" s="545"/>
    </row>
    <row r="45" spans="2:9">
      <c r="B45" s="580" t="s">
        <v>427</v>
      </c>
      <c r="C45" s="544"/>
      <c r="D45" s="544"/>
      <c r="E45" s="544"/>
    </row>
    <row r="46" spans="2:9">
      <c r="B46" s="495" t="s">
        <v>428</v>
      </c>
      <c r="C46" s="496">
        <v>134623</v>
      </c>
      <c r="D46" s="496">
        <v>122937</v>
      </c>
      <c r="E46" s="509">
        <v>9.5000000000000001E-2</v>
      </c>
      <c r="G46" s="545"/>
      <c r="I46" s="545"/>
    </row>
    <row r="47" spans="2:9">
      <c r="B47" s="495" t="s">
        <v>429</v>
      </c>
      <c r="C47" s="496">
        <v>1716133</v>
      </c>
      <c r="D47" s="496">
        <v>1696351</v>
      </c>
      <c r="E47" s="509">
        <v>1.2E-2</v>
      </c>
      <c r="G47" s="545"/>
    </row>
    <row r="48" spans="2:9">
      <c r="B48" s="499" t="s">
        <v>430</v>
      </c>
      <c r="C48" s="500">
        <v>1850756</v>
      </c>
      <c r="D48" s="500">
        <v>1819288</v>
      </c>
      <c r="E48" s="578">
        <v>1.7000000000000001E-2</v>
      </c>
      <c r="G48" s="545"/>
    </row>
    <row r="49" spans="2:7">
      <c r="B49" s="580" t="s">
        <v>431</v>
      </c>
      <c r="C49" s="544"/>
      <c r="D49" s="544"/>
      <c r="E49" s="579"/>
    </row>
    <row r="50" spans="2:7">
      <c r="B50" s="495" t="s">
        <v>432</v>
      </c>
      <c r="C50" s="496">
        <v>221033</v>
      </c>
      <c r="D50" s="496">
        <v>167343</v>
      </c>
      <c r="E50" s="509">
        <v>0.32100000000000001</v>
      </c>
      <c r="G50" s="545"/>
    </row>
    <row r="51" spans="2:7">
      <c r="B51" s="495" t="s">
        <v>433</v>
      </c>
      <c r="C51" s="496">
        <v>680044</v>
      </c>
      <c r="D51" s="496">
        <v>695418</v>
      </c>
      <c r="E51" s="509">
        <v>-2.1999999999999999E-2</v>
      </c>
      <c r="G51" s="545"/>
    </row>
    <row r="52" spans="2:7">
      <c r="B52" s="499" t="s">
        <v>434</v>
      </c>
      <c r="C52" s="500">
        <v>901077</v>
      </c>
      <c r="D52" s="500">
        <v>862761</v>
      </c>
      <c r="E52" s="578">
        <v>4.3999999999999997E-2</v>
      </c>
      <c r="G52" s="545"/>
    </row>
    <row r="53" spans="2:7">
      <c r="B53" s="544"/>
      <c r="C53" s="544"/>
      <c r="D53" s="544"/>
      <c r="E53" s="579"/>
    </row>
    <row r="54" spans="2:7">
      <c r="B54" s="495" t="s">
        <v>435</v>
      </c>
      <c r="C54" s="496">
        <v>580912</v>
      </c>
      <c r="D54" s="496">
        <v>583788</v>
      </c>
      <c r="E54" s="509">
        <v>-5.0000000000000001E-3</v>
      </c>
      <c r="G54" s="545"/>
    </row>
    <row r="55" spans="2:7">
      <c r="B55" s="495" t="s">
        <v>436</v>
      </c>
      <c r="C55" s="496">
        <v>368767</v>
      </c>
      <c r="D55" s="496">
        <v>372739</v>
      </c>
      <c r="E55" s="509">
        <v>-1.0999999999999999E-2</v>
      </c>
      <c r="G55" s="545"/>
    </row>
    <row r="56" spans="2:7">
      <c r="B56" s="499" t="s">
        <v>437</v>
      </c>
      <c r="C56" s="500">
        <v>949679</v>
      </c>
      <c r="D56" s="500">
        <v>956527</v>
      </c>
      <c r="E56" s="578">
        <v>-7.0000000000000001E-3</v>
      </c>
      <c r="G56" s="545"/>
    </row>
    <row r="57" spans="2:7">
      <c r="B57" s="499" t="s">
        <v>438</v>
      </c>
      <c r="C57" s="500">
        <v>1850756</v>
      </c>
      <c r="D57" s="500">
        <v>1819288</v>
      </c>
      <c r="E57" s="578">
        <v>1.7000000000000001E-2</v>
      </c>
      <c r="G57" s="545"/>
    </row>
    <row r="61" spans="2:7" ht="13.5" thickBot="1">
      <c r="B61" s="567" t="s">
        <v>439</v>
      </c>
      <c r="C61" s="568" t="s">
        <v>409</v>
      </c>
    </row>
    <row r="62" spans="2:7" ht="12.75">
      <c r="B62" s="569" t="s">
        <v>440</v>
      </c>
      <c r="C62" s="570">
        <v>17166</v>
      </c>
    </row>
    <row r="63" spans="2:7" ht="12.75">
      <c r="B63" s="569" t="s">
        <v>441</v>
      </c>
      <c r="C63" s="570">
        <v>8165</v>
      </c>
    </row>
    <row r="64" spans="2:7" ht="12.75">
      <c r="B64" s="569" t="s">
        <v>442</v>
      </c>
      <c r="C64" s="570">
        <v>5704</v>
      </c>
    </row>
    <row r="69" spans="2:11" ht="15">
      <c r="B69" s="552"/>
      <c r="C69" s="602"/>
      <c r="D69" s="602"/>
      <c r="E69" s="580"/>
      <c r="F69" s="580"/>
      <c r="G69" s="580"/>
      <c r="H69" s="580"/>
    </row>
    <row r="70" spans="2:11" ht="15.75" thickBot="1">
      <c r="B70" s="573"/>
      <c r="C70" s="581" t="s">
        <v>443</v>
      </c>
      <c r="D70" s="581" t="s">
        <v>407</v>
      </c>
      <c r="E70" s="581" t="s">
        <v>444</v>
      </c>
      <c r="F70" s="581" t="s">
        <v>445</v>
      </c>
      <c r="G70" s="581" t="s">
        <v>446</v>
      </c>
      <c r="H70" s="581" t="s">
        <v>447</v>
      </c>
      <c r="J70" s="542" t="s">
        <v>448</v>
      </c>
      <c r="K70" s="647">
        <v>0.71</v>
      </c>
    </row>
    <row r="71" spans="2:11">
      <c r="B71" s="582" t="s">
        <v>448</v>
      </c>
      <c r="C71" s="503" t="s">
        <v>408</v>
      </c>
      <c r="D71" s="496">
        <v>507449</v>
      </c>
      <c r="E71" s="496">
        <v>78296</v>
      </c>
      <c r="F71" s="496">
        <v>100080</v>
      </c>
      <c r="G71" s="496">
        <v>48746</v>
      </c>
      <c r="H71" s="496">
        <v>280328</v>
      </c>
      <c r="J71" s="542" t="s">
        <v>485</v>
      </c>
      <c r="K71" s="647">
        <v>0.18</v>
      </c>
    </row>
    <row r="72" spans="2:11">
      <c r="B72" s="582" t="s">
        <v>449</v>
      </c>
      <c r="C72" s="503" t="s">
        <v>75</v>
      </c>
      <c r="D72" s="496">
        <v>76701</v>
      </c>
      <c r="E72" s="496">
        <v>6197</v>
      </c>
      <c r="F72" s="496">
        <v>70504</v>
      </c>
      <c r="G72" s="547">
        <v>0</v>
      </c>
      <c r="H72" s="547">
        <v>0</v>
      </c>
      <c r="J72" s="542" t="s">
        <v>449</v>
      </c>
      <c r="K72" s="647">
        <v>0.11</v>
      </c>
    </row>
    <row r="73" spans="2:11" ht="12.75" thickBot="1">
      <c r="B73" s="583" t="s">
        <v>450</v>
      </c>
      <c r="C73" s="571" t="s">
        <v>408</v>
      </c>
      <c r="D73" s="572">
        <v>128172</v>
      </c>
      <c r="E73" s="572">
        <v>4274</v>
      </c>
      <c r="F73" s="572">
        <v>30643</v>
      </c>
      <c r="G73" s="572">
        <v>22577</v>
      </c>
      <c r="H73" s="572">
        <v>70678</v>
      </c>
    </row>
    <row r="74" spans="2:11">
      <c r="B74" s="601" t="s">
        <v>386</v>
      </c>
      <c r="C74" s="601"/>
      <c r="D74" s="500">
        <v>712322</v>
      </c>
      <c r="E74" s="500">
        <v>88767</v>
      </c>
      <c r="F74" s="500">
        <v>201226</v>
      </c>
      <c r="G74" s="500">
        <v>71322</v>
      </c>
      <c r="H74" s="500">
        <v>351006</v>
      </c>
      <c r="J74" s="542" t="s">
        <v>486</v>
      </c>
      <c r="K74" s="647">
        <v>0.11</v>
      </c>
    </row>
    <row r="75" spans="2:11">
      <c r="J75" s="542" t="s">
        <v>487</v>
      </c>
      <c r="K75" s="647">
        <v>0.89</v>
      </c>
    </row>
    <row r="102" spans="2:7" ht="12.75" thickBot="1">
      <c r="B102" s="494" t="s">
        <v>451</v>
      </c>
      <c r="C102" s="501" t="s">
        <v>409</v>
      </c>
      <c r="D102" s="501" t="s">
        <v>410</v>
      </c>
      <c r="E102" s="501" t="s">
        <v>376</v>
      </c>
    </row>
    <row r="103" spans="2:7">
      <c r="B103" s="495" t="s">
        <v>452</v>
      </c>
      <c r="C103" s="496">
        <v>202592</v>
      </c>
      <c r="D103" s="496">
        <v>202701</v>
      </c>
      <c r="E103" s="509">
        <v>-1E-3</v>
      </c>
      <c r="G103" s="545"/>
    </row>
    <row r="104" spans="2:7">
      <c r="B104" s="495" t="s">
        <v>453</v>
      </c>
      <c r="C104" s="496">
        <v>-119029</v>
      </c>
      <c r="D104" s="496">
        <v>-105369</v>
      </c>
      <c r="E104" s="509">
        <v>0.13</v>
      </c>
      <c r="G104" s="545"/>
    </row>
    <row r="105" spans="2:7">
      <c r="B105" s="495" t="s">
        <v>454</v>
      </c>
      <c r="C105" s="496">
        <v>-80471</v>
      </c>
      <c r="D105" s="496">
        <v>-66678</v>
      </c>
      <c r="E105" s="509">
        <v>0.20699999999999999</v>
      </c>
      <c r="G105" s="545"/>
    </row>
    <row r="106" spans="2:7">
      <c r="B106" s="495" t="s">
        <v>455</v>
      </c>
      <c r="C106" s="496">
        <v>3092</v>
      </c>
      <c r="D106" s="496">
        <v>30654</v>
      </c>
      <c r="E106" s="509">
        <v>-0.89900000000000002</v>
      </c>
      <c r="G106" s="545"/>
    </row>
    <row r="107" spans="2:7">
      <c r="B107" s="499" t="s">
        <v>456</v>
      </c>
      <c r="C107" s="500">
        <v>40299</v>
      </c>
      <c r="D107" s="500">
        <v>37207</v>
      </c>
      <c r="E107" s="578">
        <v>8.3000000000000004E-2</v>
      </c>
      <c r="G107" s="545"/>
    </row>
    <row r="110" spans="2:7">
      <c r="B110" s="544"/>
      <c r="C110" s="544"/>
      <c r="D110" s="497" t="s">
        <v>409</v>
      </c>
      <c r="E110" s="497" t="s">
        <v>410</v>
      </c>
    </row>
    <row r="111" spans="2:7" ht="12.75">
      <c r="B111" s="584" t="s">
        <v>457</v>
      </c>
      <c r="C111" s="585"/>
      <c r="D111" s="544"/>
      <c r="E111" s="544"/>
    </row>
    <row r="112" spans="2:7">
      <c r="B112" s="582" t="s">
        <v>458</v>
      </c>
      <c r="C112" s="586" t="s">
        <v>459</v>
      </c>
      <c r="D112" s="504">
        <v>0.61</v>
      </c>
      <c r="E112" s="504">
        <v>0.73</v>
      </c>
    </row>
    <row r="113" spans="2:7">
      <c r="B113" s="582" t="s">
        <v>460</v>
      </c>
      <c r="C113" s="586" t="s">
        <v>459</v>
      </c>
      <c r="D113" s="504">
        <v>0.18</v>
      </c>
      <c r="E113" s="504">
        <v>0.22</v>
      </c>
    </row>
    <row r="114" spans="2:7" ht="12.75">
      <c r="B114" s="584" t="s">
        <v>461</v>
      </c>
      <c r="C114" s="585"/>
      <c r="D114" s="544"/>
      <c r="E114" s="544"/>
    </row>
    <row r="115" spans="2:7">
      <c r="B115" s="582" t="s">
        <v>462</v>
      </c>
      <c r="C115" s="586" t="s">
        <v>459</v>
      </c>
      <c r="D115" s="503">
        <v>0.95</v>
      </c>
      <c r="E115" s="503">
        <v>0.9</v>
      </c>
    </row>
    <row r="116" spans="2:7">
      <c r="B116" s="582" t="s">
        <v>463</v>
      </c>
      <c r="C116" s="586" t="s">
        <v>459</v>
      </c>
      <c r="D116" s="503">
        <v>0.25</v>
      </c>
      <c r="E116" s="503">
        <v>0.19</v>
      </c>
    </row>
    <row r="117" spans="2:7">
      <c r="B117" s="582" t="s">
        <v>464</v>
      </c>
      <c r="C117" s="586" t="s">
        <v>459</v>
      </c>
      <c r="D117" s="503">
        <v>0.75</v>
      </c>
      <c r="E117" s="503">
        <v>0.81</v>
      </c>
    </row>
    <row r="118" spans="2:7">
      <c r="B118" s="582" t="s">
        <v>465</v>
      </c>
      <c r="C118" s="586" t="s">
        <v>459</v>
      </c>
      <c r="D118" s="503">
        <v>6.13</v>
      </c>
      <c r="E118" s="503">
        <v>7.5</v>
      </c>
    </row>
    <row r="119" spans="2:7" ht="12.75">
      <c r="B119" s="584" t="s">
        <v>466</v>
      </c>
      <c r="C119" s="585"/>
      <c r="D119" s="544"/>
      <c r="E119" s="544"/>
    </row>
    <row r="120" spans="2:7">
      <c r="B120" s="587" t="s">
        <v>467</v>
      </c>
      <c r="C120" s="586" t="s">
        <v>74</v>
      </c>
      <c r="D120" s="504">
        <v>9.9</v>
      </c>
      <c r="E120" s="504">
        <v>10.35</v>
      </c>
    </row>
    <row r="121" spans="2:7">
      <c r="B121" s="582" t="s">
        <v>468</v>
      </c>
      <c r="C121" s="586" t="s">
        <v>74</v>
      </c>
      <c r="D121" s="504">
        <v>3.1399999999999997</v>
      </c>
      <c r="E121" s="504">
        <v>3.38</v>
      </c>
    </row>
    <row r="122" spans="2:7">
      <c r="B122" s="582" t="s">
        <v>469</v>
      </c>
      <c r="C122" s="586" t="s">
        <v>470</v>
      </c>
      <c r="D122" s="504">
        <v>57.65</v>
      </c>
      <c r="E122" s="504">
        <v>60.21</v>
      </c>
    </row>
    <row r="123" spans="2:7">
      <c r="B123" s="582" t="s">
        <v>471</v>
      </c>
      <c r="C123" s="586" t="s">
        <v>74</v>
      </c>
      <c r="D123" s="504">
        <v>6.81</v>
      </c>
      <c r="E123" s="504">
        <v>5.7700000000000005</v>
      </c>
    </row>
    <row r="125" spans="2:7" hidden="1">
      <c r="B125" s="542" t="s">
        <v>393</v>
      </c>
    </row>
    <row r="126" spans="2:7" ht="12.75" hidden="1" thickBot="1">
      <c r="B126" s="494" t="s">
        <v>375</v>
      </c>
      <c r="C126" s="501" t="s">
        <v>390</v>
      </c>
      <c r="D126" s="501" t="s">
        <v>391</v>
      </c>
      <c r="E126" s="501" t="s">
        <v>376</v>
      </c>
      <c r="F126" s="544"/>
      <c r="G126" s="501" t="s">
        <v>392</v>
      </c>
    </row>
    <row r="127" spans="2:7" hidden="1">
      <c r="B127" s="495" t="s">
        <v>317</v>
      </c>
      <c r="C127" s="496">
        <v>111590</v>
      </c>
      <c r="D127" s="496">
        <v>104342</v>
      </c>
      <c r="E127" s="509">
        <v>6.9000000000000006E-2</v>
      </c>
      <c r="F127" s="544"/>
      <c r="G127" s="496">
        <v>7248</v>
      </c>
    </row>
    <row r="128" spans="2:7" hidden="1">
      <c r="B128" s="495" t="s">
        <v>377</v>
      </c>
      <c r="C128" s="496">
        <v>-39409</v>
      </c>
      <c r="D128" s="496">
        <v>-35387</v>
      </c>
      <c r="E128" s="509">
        <v>0.114</v>
      </c>
      <c r="F128" s="544"/>
      <c r="G128" s="496">
        <v>-4022</v>
      </c>
    </row>
    <row r="129" spans="2:7" hidden="1">
      <c r="B129" s="495" t="s">
        <v>378</v>
      </c>
      <c r="C129" s="496">
        <v>72181</v>
      </c>
      <c r="D129" s="496">
        <v>68955</v>
      </c>
      <c r="E129" s="509">
        <v>4.7E-2</v>
      </c>
      <c r="F129" s="544"/>
      <c r="G129" s="496">
        <v>3226</v>
      </c>
    </row>
    <row r="130" spans="2:7" hidden="1">
      <c r="B130" s="495" t="s">
        <v>379</v>
      </c>
      <c r="C130" s="496">
        <v>-15962</v>
      </c>
      <c r="D130" s="496">
        <v>-15243</v>
      </c>
      <c r="E130" s="509">
        <v>4.7E-2</v>
      </c>
      <c r="F130" s="544"/>
      <c r="G130" s="547">
        <v>-719</v>
      </c>
    </row>
    <row r="131" spans="2:7" hidden="1">
      <c r="B131" s="495" t="s">
        <v>380</v>
      </c>
      <c r="C131" s="496">
        <v>56219</v>
      </c>
      <c r="D131" s="496">
        <v>53712</v>
      </c>
      <c r="E131" s="509">
        <v>4.7E-2</v>
      </c>
      <c r="F131" s="544"/>
      <c r="G131" s="496">
        <v>2507</v>
      </c>
    </row>
    <row r="132" spans="2:7" hidden="1">
      <c r="B132" s="495" t="s">
        <v>381</v>
      </c>
      <c r="C132" s="496">
        <v>-11630</v>
      </c>
      <c r="D132" s="496">
        <v>-12275</v>
      </c>
      <c r="E132" s="509">
        <v>-5.2999999999999999E-2</v>
      </c>
      <c r="F132" s="544"/>
      <c r="G132" s="547">
        <v>645</v>
      </c>
    </row>
    <row r="133" spans="2:7" hidden="1">
      <c r="B133" s="495" t="s">
        <v>382</v>
      </c>
      <c r="C133" s="496">
        <v>17561</v>
      </c>
      <c r="D133" s="496">
        <v>16506</v>
      </c>
      <c r="E133" s="509">
        <v>6.4000000000000001E-2</v>
      </c>
      <c r="F133" s="544"/>
      <c r="G133" s="496">
        <v>1055</v>
      </c>
    </row>
    <row r="137" spans="2:7" ht="12.75">
      <c r="B137" s="505" t="s">
        <v>347</v>
      </c>
      <c r="C137" s="506"/>
    </row>
    <row r="138" spans="2:7" ht="12.75">
      <c r="B138" s="507" t="s">
        <v>472</v>
      </c>
      <c r="C138" s="506" t="s">
        <v>474</v>
      </c>
    </row>
    <row r="139" spans="2:7" ht="12.75">
      <c r="B139" s="507" t="s">
        <v>473</v>
      </c>
      <c r="C139" s="506" t="s">
        <v>474</v>
      </c>
    </row>
    <row r="140" spans="2:7" ht="12.75">
      <c r="B140" s="507" t="s">
        <v>352</v>
      </c>
      <c r="C140" s="506" t="s">
        <v>475</v>
      </c>
    </row>
    <row r="141" spans="2:7" ht="12.75">
      <c r="B141" s="505"/>
      <c r="C141" s="506"/>
    </row>
    <row r="142" spans="2:7" ht="12.75">
      <c r="B142" s="505" t="s">
        <v>389</v>
      </c>
      <c r="C142" s="506" t="s">
        <v>477</v>
      </c>
    </row>
    <row r="143" spans="2:7" ht="12.75">
      <c r="B143" s="507"/>
      <c r="C143" s="506"/>
    </row>
    <row r="144" spans="2:7" ht="12.75">
      <c r="B144" s="505" t="s">
        <v>349</v>
      </c>
      <c r="C144" s="506"/>
    </row>
    <row r="145" spans="2:3" ht="12.75">
      <c r="B145" s="507" t="s">
        <v>353</v>
      </c>
      <c r="C145" s="506" t="s">
        <v>476</v>
      </c>
    </row>
    <row r="146" spans="2:3" ht="12.75">
      <c r="B146" s="507" t="s">
        <v>354</v>
      </c>
      <c r="C146" s="506" t="s">
        <v>477</v>
      </c>
    </row>
    <row r="147" spans="2:3" ht="12.75">
      <c r="B147" s="507" t="s">
        <v>355</v>
      </c>
      <c r="C147" s="506" t="s">
        <v>475</v>
      </c>
    </row>
    <row r="148" spans="2:3" ht="12.75">
      <c r="B148" s="507" t="s">
        <v>357</v>
      </c>
      <c r="C148" s="506" t="s">
        <v>475</v>
      </c>
    </row>
    <row r="149" spans="2:3" ht="12.75">
      <c r="B149" s="507"/>
      <c r="C149" s="506"/>
    </row>
    <row r="150" spans="2:3" ht="12.75">
      <c r="B150" s="505" t="s">
        <v>350</v>
      </c>
      <c r="C150" s="506"/>
    </row>
    <row r="151" spans="2:3" ht="12.75">
      <c r="B151" s="507" t="s">
        <v>480</v>
      </c>
      <c r="C151" s="506" t="s">
        <v>478</v>
      </c>
    </row>
    <row r="152" spans="2:3" ht="12.75">
      <c r="B152" s="507" t="s">
        <v>481</v>
      </c>
      <c r="C152" s="506" t="s">
        <v>478</v>
      </c>
    </row>
    <row r="153" spans="2:3" ht="12.75">
      <c r="B153" s="507" t="s">
        <v>482</v>
      </c>
      <c r="C153" s="506" t="s">
        <v>478</v>
      </c>
    </row>
    <row r="154" spans="2:3" ht="12.75">
      <c r="B154" s="507" t="s">
        <v>361</v>
      </c>
      <c r="C154" s="506" t="s">
        <v>477</v>
      </c>
    </row>
    <row r="155" spans="2:3" ht="12.75">
      <c r="B155" s="508" t="s">
        <v>362</v>
      </c>
      <c r="C155" s="506" t="s">
        <v>479</v>
      </c>
    </row>
  </sheetData>
  <mergeCells count="10">
    <mergeCell ref="B74:C74"/>
    <mergeCell ref="C69:D69"/>
    <mergeCell ref="E43:E44"/>
    <mergeCell ref="C14:D14"/>
    <mergeCell ref="F14:G14"/>
    <mergeCell ref="I14:J14"/>
    <mergeCell ref="D15:D16"/>
    <mergeCell ref="G15:G16"/>
    <mergeCell ref="I15:I16"/>
    <mergeCell ref="J15:J16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L23"/>
  <sheetViews>
    <sheetView showGridLines="0" workbookViewId="0">
      <pane xSplit="2" ySplit="2" topLeftCell="J3" activePane="bottomRight" state="frozen"/>
      <selection pane="topRight" activeCell="C1" sqref="C1"/>
      <selection pane="bottomLeft" activeCell="A3" sqref="A3"/>
      <selection pane="bottomRight" activeCell="J7" sqref="J7"/>
    </sheetView>
  </sheetViews>
  <sheetFormatPr baseColWidth="10" defaultRowHeight="11.25"/>
  <cols>
    <col min="1" max="1" width="11.42578125" style="74"/>
    <col min="2" max="2" width="49" style="74" bestFit="1" customWidth="1"/>
    <col min="3" max="3" width="7.28515625" style="74" bestFit="1" customWidth="1"/>
    <col min="4" max="5" width="15.7109375" style="74" bestFit="1" customWidth="1"/>
    <col min="6" max="6" width="3.7109375" style="74" customWidth="1"/>
    <col min="7" max="8" width="15.7109375" style="74" bestFit="1" customWidth="1"/>
    <col min="9" max="9" width="5.42578125" style="74" customWidth="1"/>
    <col min="10" max="11" width="12" style="74" bestFit="1" customWidth="1"/>
    <col min="12" max="16384" width="11.42578125" style="74"/>
  </cols>
  <sheetData>
    <row r="1" spans="2:12">
      <c r="B1" s="605" t="s">
        <v>205</v>
      </c>
      <c r="C1" s="607" t="s">
        <v>154</v>
      </c>
      <c r="D1" s="512">
        <v>41639</v>
      </c>
      <c r="E1" s="513">
        <v>41274</v>
      </c>
      <c r="G1" s="512">
        <v>41547</v>
      </c>
      <c r="H1" s="512">
        <v>41182</v>
      </c>
      <c r="J1" s="604" t="s">
        <v>84</v>
      </c>
      <c r="K1" s="604"/>
      <c r="L1" s="604"/>
    </row>
    <row r="2" spans="2:12">
      <c r="B2" s="606"/>
      <c r="C2" s="608"/>
      <c r="D2" s="514" t="s">
        <v>9</v>
      </c>
      <c r="E2" s="515" t="s">
        <v>9</v>
      </c>
      <c r="G2" s="514" t="s">
        <v>9</v>
      </c>
      <c r="H2" s="514" t="s">
        <v>9</v>
      </c>
      <c r="J2" s="516" t="s">
        <v>401</v>
      </c>
      <c r="K2" s="516" t="s">
        <v>402</v>
      </c>
      <c r="L2" s="516" t="s">
        <v>383</v>
      </c>
    </row>
    <row r="3" spans="2:12" ht="15" customHeight="1">
      <c r="B3" s="517" t="s">
        <v>144</v>
      </c>
      <c r="C3" s="518">
        <v>17</v>
      </c>
      <c r="D3" s="519">
        <v>402791320</v>
      </c>
      <c r="E3" s="520">
        <v>383027125</v>
      </c>
      <c r="G3" s="519">
        <v>291201763</v>
      </c>
      <c r="H3" s="519">
        <v>278684898</v>
      </c>
      <c r="J3" s="519">
        <f>ROUND((D3-G3)/1000,0)</f>
        <v>111590</v>
      </c>
      <c r="K3" s="519">
        <f>ROUND((E3-H3)/1000,0)</f>
        <v>104342</v>
      </c>
      <c r="L3" s="519">
        <f>+J3-K3</f>
        <v>7248</v>
      </c>
    </row>
    <row r="4" spans="2:12" ht="15" customHeight="1">
      <c r="B4" s="517" t="s">
        <v>126</v>
      </c>
      <c r="C4" s="518"/>
      <c r="D4" s="519">
        <v>-27416534</v>
      </c>
      <c r="E4" s="520">
        <v>-29164206</v>
      </c>
      <c r="G4" s="519">
        <v>-20492305</v>
      </c>
      <c r="H4" s="519">
        <v>-21903969</v>
      </c>
      <c r="J4" s="519">
        <f t="shared" ref="J4:J21" si="0">ROUND((D4-G4)/1000,0)</f>
        <v>-6924</v>
      </c>
      <c r="K4" s="519">
        <f t="shared" ref="K4:K21" si="1">ROUND((E4-H4)/1000,0)</f>
        <v>-7260</v>
      </c>
      <c r="L4" s="519">
        <f t="shared" ref="L4:L21" si="2">+J4-K4</f>
        <v>336</v>
      </c>
    </row>
    <row r="5" spans="2:12" ht="15" customHeight="1">
      <c r="B5" s="517" t="s">
        <v>109</v>
      </c>
      <c r="C5" s="518">
        <v>19</v>
      </c>
      <c r="D5" s="519">
        <v>-40811406</v>
      </c>
      <c r="E5" s="520">
        <v>-38488071</v>
      </c>
      <c r="G5" s="519">
        <v>-29598227</v>
      </c>
      <c r="H5" s="519">
        <v>-28910156</v>
      </c>
      <c r="J5" s="519">
        <f t="shared" si="0"/>
        <v>-11213</v>
      </c>
      <c r="K5" s="519">
        <f t="shared" si="1"/>
        <v>-9578</v>
      </c>
      <c r="L5" s="519">
        <f t="shared" si="2"/>
        <v>-1635</v>
      </c>
    </row>
    <row r="6" spans="2:12" ht="15" customHeight="1">
      <c r="B6" s="517" t="s">
        <v>110</v>
      </c>
      <c r="C6" s="521" t="s">
        <v>300</v>
      </c>
      <c r="D6" s="519">
        <v>-64721070</v>
      </c>
      <c r="E6" s="520">
        <v>-55225495</v>
      </c>
      <c r="G6" s="519">
        <v>-48758589</v>
      </c>
      <c r="H6" s="519">
        <v>-39982834</v>
      </c>
      <c r="J6" s="519">
        <f t="shared" si="0"/>
        <v>-15962</v>
      </c>
      <c r="K6" s="519">
        <f t="shared" si="1"/>
        <v>-15243</v>
      </c>
      <c r="L6" s="519">
        <f t="shared" si="2"/>
        <v>-719</v>
      </c>
    </row>
    <row r="7" spans="2:12" ht="15" customHeight="1">
      <c r="B7" s="517" t="s">
        <v>111</v>
      </c>
      <c r="C7" s="518">
        <v>21</v>
      </c>
      <c r="D7" s="519">
        <v>-88149562</v>
      </c>
      <c r="E7" s="520">
        <v>-73857844</v>
      </c>
      <c r="G7" s="519">
        <v>-66877546</v>
      </c>
      <c r="H7" s="519">
        <v>-55308709</v>
      </c>
      <c r="J7" s="519">
        <f t="shared" si="0"/>
        <v>-21272</v>
      </c>
      <c r="K7" s="519">
        <f t="shared" si="1"/>
        <v>-18549</v>
      </c>
      <c r="L7" s="519">
        <f t="shared" si="2"/>
        <v>-2723</v>
      </c>
    </row>
    <row r="8" spans="2:12" ht="15" customHeight="1">
      <c r="B8" s="517" t="s">
        <v>394</v>
      </c>
      <c r="C8" s="518">
        <v>5</v>
      </c>
      <c r="D8" s="519">
        <v>1326676</v>
      </c>
      <c r="E8" s="520">
        <v>628694</v>
      </c>
      <c r="G8" s="519">
        <v>1314198</v>
      </c>
      <c r="H8" s="519">
        <v>443305</v>
      </c>
      <c r="J8" s="519">
        <f t="shared" si="0"/>
        <v>12</v>
      </c>
      <c r="K8" s="519">
        <f t="shared" si="1"/>
        <v>185</v>
      </c>
      <c r="L8" s="519">
        <f t="shared" si="2"/>
        <v>-173</v>
      </c>
    </row>
    <row r="9" spans="2:12" ht="15" customHeight="1">
      <c r="B9" s="517" t="s">
        <v>118</v>
      </c>
      <c r="C9" s="518">
        <v>5</v>
      </c>
      <c r="D9" s="519">
        <v>7056285</v>
      </c>
      <c r="E9" s="520">
        <v>8388892</v>
      </c>
      <c r="G9" s="519">
        <v>5816707</v>
      </c>
      <c r="H9" s="519">
        <v>6655558</v>
      </c>
      <c r="J9" s="519">
        <f t="shared" si="0"/>
        <v>1240</v>
      </c>
      <c r="K9" s="519">
        <f t="shared" si="1"/>
        <v>1733</v>
      </c>
      <c r="L9" s="519">
        <f t="shared" si="2"/>
        <v>-493</v>
      </c>
    </row>
    <row r="10" spans="2:12" ht="15" customHeight="1">
      <c r="B10" s="517" t="s">
        <v>395</v>
      </c>
      <c r="C10" s="518">
        <v>5</v>
      </c>
      <c r="D10" s="519">
        <v>-28886895</v>
      </c>
      <c r="E10" s="520">
        <v>-24172052</v>
      </c>
      <c r="G10" s="519">
        <v>-21900066</v>
      </c>
      <c r="H10" s="519">
        <v>-16657332</v>
      </c>
      <c r="J10" s="519">
        <f t="shared" si="0"/>
        <v>-6987</v>
      </c>
      <c r="K10" s="519">
        <f t="shared" si="1"/>
        <v>-7515</v>
      </c>
      <c r="L10" s="519">
        <f t="shared" si="2"/>
        <v>528</v>
      </c>
    </row>
    <row r="11" spans="2:12" ht="15" customHeight="1">
      <c r="B11" s="517" t="s">
        <v>396</v>
      </c>
      <c r="C11" s="518">
        <v>20</v>
      </c>
      <c r="D11" s="519">
        <v>-1529</v>
      </c>
      <c r="E11" s="520">
        <v>-26734</v>
      </c>
      <c r="G11" s="519">
        <v>-4359</v>
      </c>
      <c r="H11" s="519">
        <v>-1431</v>
      </c>
      <c r="J11" s="519">
        <f t="shared" si="0"/>
        <v>3</v>
      </c>
      <c r="K11" s="519">
        <f t="shared" si="1"/>
        <v>-25</v>
      </c>
      <c r="L11" s="519">
        <f t="shared" si="2"/>
        <v>28</v>
      </c>
    </row>
    <row r="12" spans="2:12" ht="15" customHeight="1">
      <c r="B12" s="517" t="s">
        <v>210</v>
      </c>
      <c r="C12" s="518"/>
      <c r="D12" s="519">
        <v>-12954456</v>
      </c>
      <c r="E12" s="520">
        <v>-13885549</v>
      </c>
      <c r="G12" s="519">
        <v>-7068215</v>
      </c>
      <c r="H12" s="519">
        <v>-7417919</v>
      </c>
      <c r="J12" s="519">
        <f t="shared" si="0"/>
        <v>-5886</v>
      </c>
      <c r="K12" s="519">
        <f t="shared" si="1"/>
        <v>-6468</v>
      </c>
      <c r="L12" s="519">
        <f t="shared" si="2"/>
        <v>582</v>
      </c>
    </row>
    <row r="13" spans="2:12" ht="15" customHeight="1">
      <c r="B13" s="522" t="s">
        <v>397</v>
      </c>
      <c r="C13" s="523"/>
      <c r="D13" s="524">
        <v>148232829</v>
      </c>
      <c r="E13" s="525">
        <v>157224760</v>
      </c>
      <c r="G13" s="525">
        <v>103633361</v>
      </c>
      <c r="H13" s="525">
        <v>115601411</v>
      </c>
      <c r="J13" s="524">
        <f t="shared" si="0"/>
        <v>44599</v>
      </c>
      <c r="K13" s="524">
        <f t="shared" si="1"/>
        <v>41623</v>
      </c>
      <c r="L13" s="524">
        <f t="shared" si="2"/>
        <v>2976</v>
      </c>
    </row>
    <row r="14" spans="2:12" ht="15" customHeight="1">
      <c r="B14" s="517" t="s">
        <v>398</v>
      </c>
      <c r="C14" s="518">
        <v>23</v>
      </c>
      <c r="D14" s="519">
        <v>-29333029</v>
      </c>
      <c r="E14" s="520">
        <v>-35769001</v>
      </c>
      <c r="G14" s="519">
        <v>-20883357</v>
      </c>
      <c r="H14" s="519">
        <v>-28065982</v>
      </c>
      <c r="J14" s="519">
        <f t="shared" si="0"/>
        <v>-8450</v>
      </c>
      <c r="K14" s="519">
        <f t="shared" si="1"/>
        <v>-7703</v>
      </c>
      <c r="L14" s="519">
        <f t="shared" si="2"/>
        <v>-747</v>
      </c>
    </row>
    <row r="15" spans="2:12" ht="15" customHeight="1">
      <c r="B15" s="522" t="s">
        <v>399</v>
      </c>
      <c r="C15" s="526"/>
      <c r="D15" s="524">
        <v>118899800</v>
      </c>
      <c r="E15" s="525">
        <v>121455759</v>
      </c>
      <c r="G15" s="524">
        <v>82750004</v>
      </c>
      <c r="H15" s="524">
        <v>87535429</v>
      </c>
      <c r="J15" s="524">
        <f t="shared" si="0"/>
        <v>36150</v>
      </c>
      <c r="K15" s="524">
        <f t="shared" si="1"/>
        <v>33920</v>
      </c>
      <c r="L15" s="524">
        <f t="shared" si="2"/>
        <v>2230</v>
      </c>
    </row>
    <row r="16" spans="2:12" ht="15" customHeight="1">
      <c r="B16" s="527"/>
      <c r="C16" s="518"/>
      <c r="D16" s="518"/>
      <c r="E16" s="528"/>
      <c r="G16" s="519"/>
      <c r="H16" s="519"/>
      <c r="J16" s="519"/>
      <c r="K16" s="519"/>
      <c r="L16" s="519"/>
    </row>
    <row r="17" spans="2:12" ht="15" customHeight="1">
      <c r="B17" s="529" t="s">
        <v>215</v>
      </c>
      <c r="C17" s="526"/>
      <c r="D17" s="524">
        <v>118899800</v>
      </c>
      <c r="E17" s="525">
        <v>121455759</v>
      </c>
      <c r="G17" s="524">
        <v>82750004</v>
      </c>
      <c r="H17" s="524">
        <v>87535429</v>
      </c>
      <c r="J17" s="524">
        <f t="shared" si="0"/>
        <v>36150</v>
      </c>
      <c r="K17" s="524">
        <f t="shared" si="1"/>
        <v>33920</v>
      </c>
      <c r="L17" s="524">
        <f t="shared" si="2"/>
        <v>2230</v>
      </c>
    </row>
    <row r="18" spans="2:12" ht="15" customHeight="1">
      <c r="B18" s="530" t="s">
        <v>400</v>
      </c>
      <c r="C18" s="531" t="s">
        <v>5</v>
      </c>
      <c r="D18" s="532"/>
      <c r="E18" s="533"/>
      <c r="G18" s="518"/>
      <c r="H18" s="518"/>
      <c r="J18" s="519"/>
      <c r="K18" s="519"/>
      <c r="L18" s="519"/>
    </row>
    <row r="19" spans="2:12" ht="15" customHeight="1">
      <c r="B19" s="534" t="s">
        <v>131</v>
      </c>
      <c r="C19" s="526"/>
      <c r="D19" s="524">
        <v>57647853</v>
      </c>
      <c r="E19" s="525">
        <v>60214211</v>
      </c>
      <c r="G19" s="524">
        <v>40086479</v>
      </c>
      <c r="H19" s="524">
        <v>43708630</v>
      </c>
      <c r="J19" s="524">
        <f t="shared" si="0"/>
        <v>17561</v>
      </c>
      <c r="K19" s="524">
        <f t="shared" si="1"/>
        <v>16506</v>
      </c>
      <c r="L19" s="524">
        <f t="shared" si="2"/>
        <v>1055</v>
      </c>
    </row>
    <row r="20" spans="2:12" ht="15" customHeight="1">
      <c r="B20" s="517" t="s">
        <v>129</v>
      </c>
      <c r="C20" s="518">
        <v>4</v>
      </c>
      <c r="D20" s="519">
        <v>61251947</v>
      </c>
      <c r="E20" s="520">
        <v>61241548</v>
      </c>
      <c r="G20" s="519">
        <v>42663525</v>
      </c>
      <c r="H20" s="519">
        <v>43826799</v>
      </c>
      <c r="J20" s="519">
        <f t="shared" si="0"/>
        <v>18588</v>
      </c>
      <c r="K20" s="519">
        <f t="shared" si="1"/>
        <v>17415</v>
      </c>
      <c r="L20" s="519">
        <f t="shared" si="2"/>
        <v>1173</v>
      </c>
    </row>
    <row r="21" spans="2:12" ht="15" customHeight="1" thickBot="1">
      <c r="B21" s="535" t="s">
        <v>219</v>
      </c>
      <c r="C21" s="536"/>
      <c r="D21" s="537">
        <v>118899800</v>
      </c>
      <c r="E21" s="538">
        <v>121455759</v>
      </c>
      <c r="G21" s="537">
        <v>82750004</v>
      </c>
      <c r="H21" s="537">
        <v>87535429</v>
      </c>
      <c r="J21" s="537">
        <f t="shared" si="0"/>
        <v>36150</v>
      </c>
      <c r="K21" s="537">
        <f t="shared" si="1"/>
        <v>33920</v>
      </c>
      <c r="L21" s="537">
        <f t="shared" si="2"/>
        <v>2230</v>
      </c>
    </row>
    <row r="22" spans="2:12">
      <c r="B22" s="539"/>
      <c r="C22" s="539"/>
      <c r="D22" s="540"/>
      <c r="E22" s="540"/>
    </row>
    <row r="23" spans="2:12">
      <c r="E23" s="284"/>
    </row>
  </sheetData>
  <mergeCells count="3">
    <mergeCell ref="J1:L1"/>
    <mergeCell ref="B1:B2"/>
    <mergeCell ref="C1:C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c 2 9 k Z E 1 n G u w d 7 D x / f j T d 6 / O b 3 f 3 r 8 5 v j l q y 9 / 8 u z p 6 a v 0 L j 4 5 e 3 P 6 x W v 8 + v r 3 / 8 n j V 2 f H T 5 6 f n t D L x 2 c v T l 8 d P b a / / v 7 f P n 7 x 9 D k R t y k e L Y v y s 4 / a e k 1 U A 4 j f + / f / 8 s l 3 T k / e 4 H 3 6 / / O v T l 9 H m t 2 N w n / z + x M 2 L 0 9 f v T k 7 f U 3 0 e v V 7 B 3 + f P T 0 6 f v 7 8 y + / + / k 9 f H X / + + x M C 9 M u X L x / f p c 8 f c 0 d H v z d R m 3 8 h A n d e j g B 7 d f r s 1 e n r b / / + p 7 / 3 2 Z v f / 4 v j k 1 d f C q z b v E t / n p y + d o P 4 + l h 8 c f r 8 j Q X z + u v D o T / f g O z f / f L V 7 / X k y y 9 / L w 8 S E / w W I A x B v v v k 9 y c m o a 9 e f A 0 g p v / f / + X x 6 9 f 0 x 9 P b E / X N t 0 + / U E r e p v n r N 7 / P 8 9 P f / 6 u X x M W n v / 8 X X z 4 N J m H n v Y j 3 5 t X x i 9 f P i K 8 / D M y P v / h J / 2 X + 8 7 1 e / y p 8 / a v 3 e v 3 F l 7 / / d 1 8 d + w L x 3 n P W G f 5 t 3 3 / 9 b Z J K + s D J w w c w s k X m T F n n v V B 5 e f z q 9 M W b D 5 x H B c J v f A 0 c X n / 1 8 u W X r 9 7 8 / q / P X n x O H P r 0 5 e + v k v U 1 Y H 3 1 + p Q k 8 c 3 Z F 2 c / d f r 7 v 3 7 z J a m + 2 y q b u 6 E 6 B a S T L 7 9 4 S Y i 8 h u 2 A L n 5 8 t / v p Y x n 7 i + M v G E X 5 6 8 3 v 8 / L 0 6 L t V / X Z S V W 8 f 3 / U + f P z 6 j Z G + I + J W 7 6 / H b A u P / h + J F N A d r A c A A A = = < / A p p l i c a t i o n > 
</file>

<file path=customXml/itemProps1.xml><?xml version="1.0" encoding="utf-8"?>
<ds:datastoreItem xmlns:ds="http://schemas.openxmlformats.org/officeDocument/2006/customXml" ds:itemID="{30DE542B-17D1-4CDE-8E1F-02FFC258B4C5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</vt:i4>
      </vt:variant>
    </vt:vector>
  </HeadingPairs>
  <TitlesOfParts>
    <vt:vector size="16" baseType="lpstr">
      <vt:lpstr>Fechas Indexaciones</vt:lpstr>
      <vt:lpstr>Cuadro Bce</vt:lpstr>
      <vt:lpstr>Indicadores</vt:lpstr>
      <vt:lpstr>Cuadro Resultado</vt:lpstr>
      <vt:lpstr>Cuadro Flujo</vt:lpstr>
      <vt:lpstr>Cuadros Gestión</vt:lpstr>
      <vt:lpstr>Nuevos cuadros</vt:lpstr>
      <vt:lpstr>Trimestral</vt:lpstr>
      <vt:lpstr>cálculos</vt:lpstr>
      <vt:lpstr>Balance</vt:lpstr>
      <vt:lpstr>Resultado</vt:lpstr>
      <vt:lpstr>Flujo</vt:lpstr>
      <vt:lpstr>Anualizados</vt:lpstr>
      <vt:lpstr>valor acción</vt:lpstr>
      <vt:lpstr>cálculos!Área_de_impresión</vt:lpstr>
      <vt:lpstr>Indicadores!Área_de_impresión</vt:lpstr>
    </vt:vector>
  </TitlesOfParts>
  <Company>Aguas Andinas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Angelica Maria Espinosa Ramos</cp:lastModifiedBy>
  <cp:lastPrinted>2011-04-19T13:35:12Z</cp:lastPrinted>
  <dcterms:created xsi:type="dcterms:W3CDTF">2009-05-16T00:13:33Z</dcterms:created>
  <dcterms:modified xsi:type="dcterms:W3CDTF">2015-03-09T11:58:24Z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Analisis razonado IAM Dic 2013.xlsx</vt:lpwstr>
  </property>
</Properties>
</file>