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updateLinks="never" defaultThemeVersion="124226"/>
  <workbookProtection workbookPassword="C4C8" lockStructure="1"/>
  <bookViews>
    <workbookView xWindow="255" yWindow="-210" windowWidth="8715" windowHeight="10350" firstSheet="2" activeTab="2"/>
  </bookViews>
  <sheets>
    <sheet name="BExRepositorySheet" sheetId="9" state="veryHidden" r:id="rId1"/>
    <sheet name="cálculos" sheetId="4" state="hidden" r:id="rId2"/>
    <sheet name="cuadros" sheetId="8" r:id="rId3"/>
    <sheet name="Utilidad Anualizada" sheetId="10" state="hidden" r:id="rId4"/>
  </sheets>
  <externalReferences>
    <externalReference r:id="rId5"/>
    <externalReference r:id="rId6"/>
    <externalReference r:id="rId7"/>
    <externalReference r:id="rId8"/>
  </externalReferences>
  <definedNames>
    <definedName name="_xlnm.Print_Area" localSheetId="1">cálculos!$B$2:$G$96</definedName>
    <definedName name="_xlnm.Print_Area" localSheetId="2">cuadros!$G$8:$K$33</definedName>
  </definedNames>
  <calcPr calcId="145621"/>
</workbook>
</file>

<file path=xl/calcChain.xml><?xml version="1.0" encoding="utf-8"?>
<calcChain xmlns="http://schemas.openxmlformats.org/spreadsheetml/2006/main">
  <c r="F92" i="4" l="1"/>
  <c r="G92" i="4"/>
  <c r="G91" i="4"/>
  <c r="H88" i="4"/>
  <c r="H89" i="4"/>
  <c r="G89" i="4"/>
  <c r="B89" i="4"/>
  <c r="F69" i="4"/>
  <c r="D72" i="4"/>
  <c r="C72" i="4"/>
  <c r="D71" i="4"/>
  <c r="F71" i="4"/>
  <c r="C71" i="4"/>
  <c r="L67" i="4"/>
  <c r="J67" i="4"/>
  <c r="L59" i="4"/>
  <c r="L61" i="4"/>
  <c r="J59" i="4"/>
  <c r="J61" i="4"/>
  <c r="D68" i="4"/>
  <c r="F68" i="4"/>
  <c r="C68" i="4"/>
  <c r="D66" i="4"/>
  <c r="F66" i="4"/>
  <c r="C66" i="4"/>
  <c r="D65" i="4"/>
  <c r="C65" i="4"/>
  <c r="D64" i="4"/>
  <c r="F64" i="4"/>
  <c r="C64" i="4"/>
  <c r="D63" i="4"/>
  <c r="C63" i="4"/>
  <c r="C67" i="4"/>
  <c r="D61" i="4"/>
  <c r="F61" i="4"/>
  <c r="C61" i="4"/>
  <c r="J77" i="4"/>
  <c r="D60" i="4"/>
  <c r="F60" i="4"/>
  <c r="C60" i="4"/>
  <c r="D59" i="4"/>
  <c r="C59" i="4"/>
  <c r="J75" i="4"/>
  <c r="D58" i="4"/>
  <c r="C58" i="4"/>
  <c r="D57" i="4"/>
  <c r="C57" i="4"/>
  <c r="D56" i="4"/>
  <c r="C56" i="4"/>
  <c r="E55" i="4"/>
  <c r="D55" i="4"/>
  <c r="J50" i="4"/>
  <c r="J122" i="4"/>
  <c r="P122" i="4"/>
  <c r="L46" i="4"/>
  <c r="L118" i="4"/>
  <c r="J46" i="4"/>
  <c r="J118" i="4"/>
  <c r="C44" i="4"/>
  <c r="B44" i="4"/>
  <c r="D43" i="4"/>
  <c r="D47" i="4"/>
  <c r="L49" i="4"/>
  <c r="M49" i="4"/>
  <c r="C43" i="4"/>
  <c r="C47" i="4"/>
  <c r="J49" i="4"/>
  <c r="B43" i="4"/>
  <c r="D42" i="4"/>
  <c r="B42" i="4"/>
  <c r="L39" i="4"/>
  <c r="L111" i="4"/>
  <c r="L114" i="4"/>
  <c r="E39" i="4"/>
  <c r="D39" i="4"/>
  <c r="F39" i="4"/>
  <c r="D38" i="4"/>
  <c r="D36" i="4"/>
  <c r="L30" i="4"/>
  <c r="L29" i="4"/>
  <c r="L28" i="4"/>
  <c r="L27" i="4"/>
  <c r="L26" i="4"/>
  <c r="L32" i="4"/>
  <c r="F22" i="4"/>
  <c r="J30" i="4"/>
  <c r="E32" i="4"/>
  <c r="D32" i="4"/>
  <c r="E30" i="4"/>
  <c r="D30" i="4"/>
  <c r="E29" i="4"/>
  <c r="D29" i="4"/>
  <c r="E28" i="4"/>
  <c r="E31" i="4"/>
  <c r="D28" i="4"/>
  <c r="D31" i="4"/>
  <c r="F27" i="4"/>
  <c r="E27" i="4"/>
  <c r="D27" i="4"/>
  <c r="L24" i="4"/>
  <c r="L23" i="4"/>
  <c r="M23" i="4"/>
  <c r="D25" i="4"/>
  <c r="J29" i="4"/>
  <c r="E24" i="4"/>
  <c r="D24" i="4"/>
  <c r="J27" i="4"/>
  <c r="E22" i="4"/>
  <c r="E21" i="4"/>
  <c r="D21" i="4"/>
  <c r="J28" i="4"/>
  <c r="D19" i="4"/>
  <c r="J58" i="4"/>
  <c r="K58" i="4"/>
  <c r="D18" i="4"/>
  <c r="J35" i="4"/>
  <c r="D16" i="4"/>
  <c r="C55" i="4"/>
  <c r="E13" i="4"/>
  <c r="D35" i="4"/>
  <c r="L40" i="4"/>
  <c r="L112" i="4"/>
  <c r="D13" i="4"/>
  <c r="J40" i="4"/>
  <c r="J112" i="4"/>
  <c r="P112" i="4"/>
  <c r="E12" i="4"/>
  <c r="D12" i="4"/>
  <c r="L10" i="4"/>
  <c r="E11" i="4"/>
  <c r="F11" i="4"/>
  <c r="D11" i="4"/>
  <c r="J20" i="4"/>
  <c r="E10" i="4"/>
  <c r="F10" i="4"/>
  <c r="D10" i="4"/>
  <c r="X7" i="4"/>
  <c r="E7" i="4"/>
  <c r="D7" i="4"/>
  <c r="E6" i="4"/>
  <c r="L7" i="4"/>
  <c r="D6" i="4"/>
  <c r="L4" i="4"/>
  <c r="J4" i="4"/>
  <c r="C4" i="10"/>
  <c r="E33" i="4"/>
  <c r="L117" i="4"/>
  <c r="L121" i="4"/>
  <c r="M121" i="4"/>
  <c r="D33" i="4"/>
  <c r="P118" i="4"/>
  <c r="E8" i="4"/>
  <c r="L43" i="4"/>
  <c r="D14" i="4"/>
  <c r="J15" i="4"/>
  <c r="L15" i="4"/>
  <c r="Q15" i="4"/>
  <c r="J18" i="4"/>
  <c r="J24" i="4"/>
  <c r="L42" i="4"/>
  <c r="M42" i="4"/>
  <c r="P46" i="4"/>
  <c r="P50" i="4"/>
  <c r="M53" i="4"/>
  <c r="C62" i="4"/>
  <c r="C70" i="4"/>
  <c r="C74" i="4"/>
  <c r="P59" i="4"/>
  <c r="F63" i="4"/>
  <c r="D8" i="4"/>
  <c r="J43" i="4"/>
  <c r="J11" i="4"/>
  <c r="J14" i="4"/>
  <c r="K14" i="4"/>
  <c r="L45" i="4"/>
  <c r="M45" i="4"/>
  <c r="D62" i="4"/>
  <c r="L68" i="4"/>
  <c r="P24" i="4"/>
  <c r="Q24" i="4"/>
  <c r="J21" i="4"/>
  <c r="F62" i="4"/>
  <c r="C73" i="4"/>
  <c r="Q43" i="4"/>
  <c r="D23" i="4"/>
  <c r="J66" i="4"/>
  <c r="C76" i="4"/>
  <c r="C6" i="10"/>
  <c r="D6" i="10"/>
  <c r="M52" i="4"/>
  <c r="K49" i="4"/>
  <c r="P49" i="4"/>
  <c r="J121" i="4"/>
  <c r="L115" i="4"/>
  <c r="P43" i="4"/>
  <c r="Q112" i="4"/>
  <c r="M7" i="4"/>
  <c r="K20" i="4"/>
  <c r="D20" i="4"/>
  <c r="J23" i="4"/>
  <c r="J115" i="4"/>
  <c r="P15" i="4"/>
  <c r="P14" i="4"/>
  <c r="E14" i="4"/>
  <c r="J10" i="4"/>
  <c r="P61" i="4"/>
  <c r="F57" i="4"/>
  <c r="E19" i="4"/>
  <c r="L58" i="4"/>
  <c r="E25" i="4"/>
  <c r="F59" i="4"/>
  <c r="L17" i="4"/>
  <c r="M17" i="4"/>
  <c r="F72" i="4"/>
  <c r="L14" i="4"/>
  <c r="L11" i="4"/>
  <c r="F56" i="4"/>
  <c r="E18" i="4"/>
  <c r="L35" i="4"/>
  <c r="P35" i="4"/>
  <c r="F58" i="4"/>
  <c r="D67" i="4"/>
  <c r="L18" i="4"/>
  <c r="P40" i="4"/>
  <c r="L8" i="4"/>
  <c r="L20" i="4"/>
  <c r="Q20" i="4"/>
  <c r="Q40" i="4"/>
  <c r="J62" i="4"/>
  <c r="P58" i="4"/>
  <c r="J8" i="4"/>
  <c r="J7" i="4"/>
  <c r="J17" i="4"/>
  <c r="J68" i="4"/>
  <c r="O68" i="4"/>
  <c r="J73" i="4"/>
  <c r="J74" i="4"/>
  <c r="F65" i="4"/>
  <c r="P17" i="4"/>
  <c r="K17" i="4"/>
  <c r="Q17" i="4"/>
  <c r="J78" i="4"/>
  <c r="K74" i="4"/>
  <c r="Q7" i="4"/>
  <c r="K7" i="4"/>
  <c r="P7" i="4"/>
  <c r="Q14" i="4"/>
  <c r="M14" i="4"/>
  <c r="L62" i="4"/>
  <c r="M61" i="4"/>
  <c r="M58" i="4"/>
  <c r="O58" i="4"/>
  <c r="P23" i="4"/>
  <c r="Q23" i="4"/>
  <c r="K23" i="4"/>
  <c r="P121" i="4"/>
  <c r="K121" i="4"/>
  <c r="O121" i="4"/>
  <c r="Q8" i="4"/>
  <c r="P8" i="4"/>
  <c r="P20" i="4"/>
  <c r="F67" i="4"/>
  <c r="D70" i="4"/>
  <c r="J111" i="4"/>
  <c r="J26" i="4"/>
  <c r="J32" i="4"/>
  <c r="G23" i="4"/>
  <c r="L21" i="4"/>
  <c r="P18" i="4"/>
  <c r="Q18" i="4"/>
  <c r="Q11" i="4"/>
  <c r="M10" i="4"/>
  <c r="P10" i="4"/>
  <c r="Q10" i="4"/>
  <c r="K10" i="4"/>
  <c r="P115" i="4"/>
  <c r="Q115" i="4"/>
  <c r="P11" i="4"/>
  <c r="K61" i="4"/>
  <c r="O61" i="4"/>
  <c r="O49" i="4"/>
  <c r="K73" i="4"/>
  <c r="D73" i="4"/>
  <c r="F73" i="4"/>
  <c r="E20" i="4"/>
  <c r="F70" i="4"/>
  <c r="D74" i="4"/>
  <c r="O14" i="4"/>
  <c r="O17" i="4"/>
  <c r="O10" i="4"/>
  <c r="M32" i="4"/>
  <c r="D22" i="4"/>
  <c r="O23" i="4"/>
  <c r="P62" i="4"/>
  <c r="K76" i="4"/>
  <c r="K77" i="4"/>
  <c r="K75" i="4"/>
  <c r="P21" i="4"/>
  <c r="Q21" i="4"/>
  <c r="P111" i="4"/>
  <c r="K111" i="4"/>
  <c r="J114" i="4"/>
  <c r="Q111" i="4"/>
  <c r="M20" i="4"/>
  <c r="O7" i="4"/>
  <c r="O111" i="4"/>
  <c r="L66" i="4"/>
  <c r="C5" i="10"/>
  <c r="D76" i="4"/>
  <c r="F74" i="4"/>
  <c r="E23" i="4"/>
  <c r="J117" i="4"/>
  <c r="P114" i="4"/>
  <c r="Q114" i="4"/>
  <c r="K114" i="4"/>
  <c r="O20" i="4"/>
  <c r="O114" i="4"/>
  <c r="M66" i="4"/>
  <c r="O66" i="4"/>
  <c r="K117" i="4"/>
  <c r="P117" i="4"/>
  <c r="C7" i="10"/>
  <c r="J39" i="4"/>
  <c r="D4" i="10"/>
  <c r="D7" i="10"/>
  <c r="C12" i="10"/>
  <c r="C13" i="10"/>
  <c r="Q39" i="4"/>
  <c r="J42" i="4"/>
  <c r="K39" i="4"/>
  <c r="P39" i="4"/>
  <c r="O117" i="4"/>
  <c r="O39" i="4"/>
  <c r="J45" i="4"/>
  <c r="P42" i="4"/>
  <c r="K42" i="4"/>
  <c r="Q42" i="4"/>
  <c r="P45" i="4"/>
  <c r="K45" i="4"/>
  <c r="O42" i="4"/>
  <c r="O45" i="4"/>
</calcChain>
</file>

<file path=xl/comments1.xml><?xml version="1.0" encoding="utf-8"?>
<comments xmlns="http://schemas.openxmlformats.org/spreadsheetml/2006/main">
  <authors>
    <author>M.Angélica</author>
  </authors>
  <commentList>
    <comment ref="H56" authorId="0">
      <text>
        <r>
          <rPr>
            <b/>
            <sz val="8"/>
            <color indexed="81"/>
            <rFont val="Tahoma"/>
            <family val="2"/>
          </rPr>
          <t>M.Angélica:</t>
        </r>
        <r>
          <rPr>
            <sz val="8"/>
            <color indexed="81"/>
            <rFont val="Tahoma"/>
            <family val="2"/>
          </rPr>
          <t xml:space="preserve">
no va en empresas de agua por no tener existencias si no que insumos para prestar el servicio.
</t>
        </r>
      </text>
    </comment>
  </commentList>
</comments>
</file>

<file path=xl/sharedStrings.xml><?xml version="1.0" encoding="utf-8"?>
<sst xmlns="http://schemas.openxmlformats.org/spreadsheetml/2006/main" count="360" uniqueCount="219">
  <si>
    <t>Patrimonio</t>
  </si>
  <si>
    <t>Total Activos</t>
  </si>
  <si>
    <t xml:space="preserve"> </t>
  </si>
  <si>
    <t xml:space="preserve">ANALISIS RAZONADO </t>
  </si>
  <si>
    <t>INDICADORES FINANCIEROS</t>
  </si>
  <si>
    <t>BALANCE</t>
  </si>
  <si>
    <t>LIQUIDEZ</t>
  </si>
  <si>
    <t>M$</t>
  </si>
  <si>
    <t>LIQUIDEZ CORRIENTE</t>
  </si>
  <si>
    <t>=</t>
  </si>
  <si>
    <t>TOTAL</t>
  </si>
  <si>
    <t>RAZON ACIDA</t>
  </si>
  <si>
    <t>ENDEUDAMIENTO</t>
  </si>
  <si>
    <t>ENDEUDAMIENTO TOTAL</t>
  </si>
  <si>
    <t xml:space="preserve">Pasivo exigible </t>
  </si>
  <si>
    <t>EERR</t>
  </si>
  <si>
    <t>DEUDA A CORTO PLAZO</t>
  </si>
  <si>
    <t xml:space="preserve">Deuda total </t>
  </si>
  <si>
    <t>DEUDA A LARGO PLAZO</t>
  </si>
  <si>
    <t>COBERTURA DE GASTOS FINANCIEROS</t>
  </si>
  <si>
    <t>Resultado antes de imptos e intereses</t>
  </si>
  <si>
    <t>GASTOS FINANCIEROS</t>
  </si>
  <si>
    <t>Gastos financieros</t>
  </si>
  <si>
    <t>R.A.I.I.D.A.I.E.</t>
  </si>
  <si>
    <t>ACTIVIDAD</t>
  </si>
  <si>
    <t>UTILIDAD DESPUES DE IMPUESTO</t>
  </si>
  <si>
    <t>ROTACION INVENTARIO</t>
  </si>
  <si>
    <t>Impuesto Renta</t>
  </si>
  <si>
    <t xml:space="preserve">Costo de venta </t>
  </si>
  <si>
    <t xml:space="preserve">Inventario Promedio </t>
  </si>
  <si>
    <t xml:space="preserve">PERMANENCIA DE INVENTARIOS </t>
  </si>
  <si>
    <t xml:space="preserve">Inventario promedio </t>
  </si>
  <si>
    <t>x360</t>
  </si>
  <si>
    <t xml:space="preserve">RESULTADO </t>
  </si>
  <si>
    <t>R.A.I.I.D.A.I.E</t>
  </si>
  <si>
    <t>Flujo neto total del período</t>
  </si>
  <si>
    <t xml:space="preserve"> Impuestos</t>
  </si>
  <si>
    <t xml:space="preserve"> Intereses (Gastos financieros)</t>
  </si>
  <si>
    <t>Saldo inicial de Efectivo</t>
  </si>
  <si>
    <t>Saldo final del Efectivo</t>
  </si>
  <si>
    <t xml:space="preserve">Items extrordinarios </t>
  </si>
  <si>
    <t xml:space="preserve">RENTABILIDAD </t>
  </si>
  <si>
    <t>RENTABILIDAD DEL PATRIMONIO</t>
  </si>
  <si>
    <t>Utilidad o pérdida del ejercicio</t>
  </si>
  <si>
    <t>RENTABILIDAD DEL ACTIVO</t>
  </si>
  <si>
    <t>Total Activos (promedios)</t>
  </si>
  <si>
    <t>UTILIDAD POR ACCION</t>
  </si>
  <si>
    <t xml:space="preserve">Resultado </t>
  </si>
  <si>
    <t xml:space="preserve">N° de acciones suscritas y pagadas </t>
  </si>
  <si>
    <t>RETORNO DE DIVIDENDOS</t>
  </si>
  <si>
    <t xml:space="preserve">Dividendos pagados </t>
  </si>
  <si>
    <t xml:space="preserve">Precio mercado acción </t>
  </si>
  <si>
    <t>Activo corriente</t>
  </si>
  <si>
    <t>Pasivo corriente</t>
  </si>
  <si>
    <t>ACTIVO CORRIENTE</t>
  </si>
  <si>
    <t>ACTIVO NO  CORRIENTE</t>
  </si>
  <si>
    <t>PASIVO NO CORRIENTE</t>
  </si>
  <si>
    <t>PASIVO  CORRIENTE</t>
  </si>
  <si>
    <t>PARTICIPACION MINORITARIOS</t>
  </si>
  <si>
    <t>Flujo de actividades de operaciones</t>
  </si>
  <si>
    <t>Flujo de actividades de inversión</t>
  </si>
  <si>
    <t>Flujo de actividades de financiación</t>
  </si>
  <si>
    <t>Saldo flujo de caja y efectivo</t>
  </si>
  <si>
    <t>Pasivo no corriente</t>
  </si>
  <si>
    <t xml:space="preserve"> Utilidad </t>
  </si>
  <si>
    <t>Ingresos de explotacion</t>
  </si>
  <si>
    <t>Dividendos indicar pago últimos 12 meses histórico</t>
  </si>
  <si>
    <t>Ingresos Ordinarios, Total</t>
  </si>
  <si>
    <t>Costo de Ventas</t>
  </si>
  <si>
    <t>Depreciacion  y amoritzaciones</t>
  </si>
  <si>
    <t>Depreciación y amortización</t>
  </si>
  <si>
    <t>Interes minoritarios</t>
  </si>
  <si>
    <t>%</t>
  </si>
  <si>
    <t>$</t>
  </si>
  <si>
    <t>Utilidad antes de impuestos (incluye minoritario)</t>
  </si>
  <si>
    <t>Resultado de Explotacion</t>
  </si>
  <si>
    <t>Ingresos Financieros</t>
  </si>
  <si>
    <t>Costos Financieros</t>
  </si>
  <si>
    <t>Diferencia de Cambio</t>
  </si>
  <si>
    <t>Resultado por Unidades Reajustables</t>
  </si>
  <si>
    <t>Resultado Financiero</t>
  </si>
  <si>
    <t>Otros Gastos Distintos de la Operación</t>
  </si>
  <si>
    <t>Resultado antes de Impuesto</t>
  </si>
  <si>
    <t>Impuestos a las Ganancias</t>
  </si>
  <si>
    <t>Interes Minoritario</t>
  </si>
  <si>
    <t>Resultado del Ejercicio</t>
  </si>
  <si>
    <t>Control</t>
  </si>
  <si>
    <t>Inventario</t>
  </si>
  <si>
    <t>31/12/2008</t>
  </si>
  <si>
    <t>31/12/2009</t>
  </si>
  <si>
    <t>Diciembre 2009</t>
  </si>
  <si>
    <t>Ganancias en venta de activos no corrientes</t>
  </si>
  <si>
    <t>GANANCIAS  tenedores de instrumentos</t>
  </si>
  <si>
    <t xml:space="preserve">     %</t>
  </si>
  <si>
    <t>Patrimonio controladora</t>
  </si>
  <si>
    <t>Patrimonio promedio controladora</t>
  </si>
  <si>
    <t>Gastos por beneficios a los empleados</t>
  </si>
  <si>
    <t>Gastos por depreciación y amortización</t>
  </si>
  <si>
    <t>Diciembre 2010</t>
  </si>
  <si>
    <t>PATRIMONIO CONTROLADORA</t>
  </si>
  <si>
    <t xml:space="preserve">Ingresos  de actividades ordinarias, total </t>
  </si>
  <si>
    <t>Materias primas y consumibles utilizados</t>
  </si>
  <si>
    <t>Reversión de pérdidas  por deterioro de valor (pérdidas por deterioro de valor)  reconocidas en el resultado del período</t>
  </si>
  <si>
    <t>Otros gastos</t>
  </si>
  <si>
    <t>Dic 2009 - Dic 2010</t>
  </si>
  <si>
    <t>Gestión y Servicios S.A.</t>
  </si>
  <si>
    <t>Anam S.A.</t>
  </si>
  <si>
    <t>Ecoriles S.A.</t>
  </si>
  <si>
    <t>Ejercicio 2010</t>
  </si>
  <si>
    <t>Ejercicio 2009</t>
  </si>
  <si>
    <t>Ganancia atribuible a los propietarios de la controladra</t>
  </si>
  <si>
    <t>Junio 2010</t>
  </si>
  <si>
    <t>Jul 2010 - Jun 2011</t>
  </si>
  <si>
    <t>Acum Junio 2009</t>
  </si>
  <si>
    <t>Acum Junio 2010</t>
  </si>
  <si>
    <t>Periodo Julio 2009 - Junio 2010</t>
  </si>
  <si>
    <t xml:space="preserve">IAM   Consolidado   </t>
  </si>
  <si>
    <t>IAM</t>
  </si>
  <si>
    <t>N° DIVIDENDO</t>
  </si>
  <si>
    <t>FECHA DE PAGO</t>
  </si>
  <si>
    <t>DIV. HISTORICO</t>
  </si>
  <si>
    <t>TIPO DIVIDENDO</t>
  </si>
  <si>
    <t>Acciones con D°</t>
  </si>
  <si>
    <t>Total pagado.</t>
  </si>
  <si>
    <t>Julio 2008 - Septiembre 2010</t>
  </si>
  <si>
    <t>Provisorio</t>
  </si>
  <si>
    <t>Definitivo</t>
  </si>
  <si>
    <t>Reparto de Capital</t>
  </si>
  <si>
    <t>Julio 2009 - junio 2010</t>
  </si>
  <si>
    <t>Bolsadesantiago .com</t>
  </si>
  <si>
    <t>Anualizado</t>
  </si>
  <si>
    <t>septiembre 2011</t>
  </si>
  <si>
    <t>septiembre 2010</t>
  </si>
  <si>
    <t>Precios de la acciones  de Cierre al 30/09/2011</t>
  </si>
  <si>
    <t>Septiembre 2010</t>
  </si>
  <si>
    <t>Acum Septiembre 2010</t>
  </si>
  <si>
    <t>Acum Septiembre 2011</t>
  </si>
  <si>
    <t>Periodo Septiembre 2010 - septiembre 2011</t>
  </si>
  <si>
    <t>CH $MM</t>
  </si>
  <si>
    <t xml:space="preserve">       CH $MM</t>
  </si>
  <si>
    <t>Acum Sept 2011 (CH $MM)</t>
  </si>
  <si>
    <t>September
2011</t>
  </si>
  <si>
    <t>September
2010</t>
  </si>
  <si>
    <t>December      2010</t>
  </si>
  <si>
    <t>Variation 
Sept 11 - Dec 10</t>
  </si>
  <si>
    <t>Variation 
Septt 11 - Septt 10</t>
  </si>
  <si>
    <t>Variation 
Sept 11 - Sept 10</t>
  </si>
  <si>
    <t>Balance Statement</t>
  </si>
  <si>
    <t>Consolidated Financial Statements</t>
  </si>
  <si>
    <t>Current Assets</t>
  </si>
  <si>
    <t>Non-Current Assets</t>
  </si>
  <si>
    <t>Total Assets</t>
  </si>
  <si>
    <t>Current Liabilities</t>
  </si>
  <si>
    <t>Non-Current Liabilities</t>
  </si>
  <si>
    <t>Total Liabilities</t>
  </si>
  <si>
    <t>Shareholder Equity Attributable to the Controller</t>
  </si>
  <si>
    <t>Minority Shareholders</t>
  </si>
  <si>
    <t>Total Shareholder Equity</t>
  </si>
  <si>
    <t>Total Liabilities and Shareholder Equity</t>
  </si>
  <si>
    <t>Financial Ratios</t>
  </si>
  <si>
    <t>Current Ratios</t>
  </si>
  <si>
    <t>Acid Test Ratios</t>
  </si>
  <si>
    <t>Leverage</t>
  </si>
  <si>
    <t>Total Leverage</t>
  </si>
  <si>
    <t>Current Leverage</t>
  </si>
  <si>
    <t>Long-Term Leverage</t>
  </si>
  <si>
    <t>Interest Coverage Ratio</t>
  </si>
  <si>
    <t>Return</t>
  </si>
  <si>
    <t>ROE</t>
  </si>
  <si>
    <t>ROA</t>
  </si>
  <si>
    <t>Earnings Per Share</t>
  </si>
  <si>
    <t>Dividend Yield</t>
  </si>
  <si>
    <t>times</t>
  </si>
  <si>
    <t>Cash Flow Statement</t>
  </si>
  <si>
    <t>Consolidated Cash Flow Statement</t>
  </si>
  <si>
    <t>Net Cash Flow from Operating Activities</t>
  </si>
  <si>
    <t>Net Cash Flow from Investing Activities</t>
  </si>
  <si>
    <t>Net Cash Flow from Financing Activities</t>
  </si>
  <si>
    <t>Total Net Cash Flow for the Period, Prior to the Changes in Exchange Rate</t>
  </si>
  <si>
    <t>Starting Balance of Cash &amp; Cash Equivalents</t>
  </si>
  <si>
    <t>Closing Balance of Cash &amp; Cash Equivalents</t>
  </si>
  <si>
    <t>Revenue Analysis</t>
  </si>
  <si>
    <t>Potable Water</t>
  </si>
  <si>
    <t>Sewage</t>
  </si>
  <si>
    <t>Other Regulated Revenue</t>
  </si>
  <si>
    <t>Non-Regulated Revenue</t>
  </si>
  <si>
    <t>Total</t>
  </si>
  <si>
    <t>Income Statement By Nature</t>
  </si>
  <si>
    <t>Revenues from Ordinary Activities</t>
  </si>
  <si>
    <t>Raw Materials &amp; Supplies Used</t>
  </si>
  <si>
    <t>Losses from Impairment of Book Value</t>
  </si>
  <si>
    <t>Employee Benefit Expenses</t>
  </si>
  <si>
    <t>Depreciation &amp; Amortization Charges</t>
  </si>
  <si>
    <t>Other Expenses, By Nature</t>
  </si>
  <si>
    <t>Operating Income</t>
  </si>
  <si>
    <t>Financial Income</t>
  </si>
  <si>
    <t>Financial Costs</t>
  </si>
  <si>
    <t>Exchange Differences</t>
  </si>
  <si>
    <t>Result Indexation Units</t>
  </si>
  <si>
    <t>Financial Result</t>
  </si>
  <si>
    <t>Other Revenues</t>
  </si>
  <si>
    <t>Earnings Before Taxes</t>
  </si>
  <si>
    <t>Charge for Income Tax</t>
  </si>
  <si>
    <t>Minority Interest</t>
  </si>
  <si>
    <t>Net Income</t>
  </si>
  <si>
    <t xml:space="preserve">Consolidated Group
</t>
  </si>
  <si>
    <t>Values in CH $MM</t>
  </si>
  <si>
    <t>Non Regulated Non Sanitary Products</t>
  </si>
  <si>
    <t>Investment Projects</t>
  </si>
  <si>
    <t>Farfana - Trebal Interceptor</t>
  </si>
  <si>
    <t>Third Sewage Treatment Plant Gran Santiago</t>
  </si>
  <si>
    <t>Sewerage Network</t>
  </si>
  <si>
    <t>Starters and Gauges</t>
  </si>
  <si>
    <r>
      <t xml:space="preserve">Group Sales Volume  (*)                     </t>
    </r>
    <r>
      <rPr>
        <b/>
        <sz val="8"/>
        <rFont val="Tahoma"/>
        <family val="2"/>
      </rPr>
      <t xml:space="preserve">(Values in thousands of billed m3) </t>
    </r>
  </si>
  <si>
    <t>Sewage Collection</t>
  </si>
  <si>
    <t>Sewage Treatment &amp; Disposal</t>
  </si>
  <si>
    <t>Interconnections</t>
  </si>
  <si>
    <t>Group Clients (*)</t>
  </si>
  <si>
    <t>Liquidity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</si>
</sst>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7">
    <numFmt numFmtId="43" formatCode="_-* #,##0.00_-;\-* #,##0.00_-;_-* &quot;-&quot;??_-;_-@_-"/>
    <numFmt numFmtId="164" formatCode="_-* #,##0.00\ _P_t_s_-;\-* #,##0.00\ _P_t_s_-;_-* &quot;-&quot;??\ _P_t_s_-;_-@_-"/>
    <numFmt numFmtId="165" formatCode="_-* #,##0_-;\-* #,##0_-;_-* &quot;-&quot;??_-;_-@_-"/>
    <numFmt numFmtId="166" formatCode="#,##0;[Red]\(#,##0\)"/>
    <numFmt numFmtId="167" formatCode="##,##0.00;[Red]\(##,##0.00\)"/>
    <numFmt numFmtId="168" formatCode="#,##0.000;[Red]\(#,##0.000\)"/>
    <numFmt numFmtId="169" formatCode="#,##0.00;[Red]\(#,##0.00\)"/>
    <numFmt numFmtId="170" formatCode="#,##0.00;[Red]#,##0.00"/>
    <numFmt numFmtId="171" formatCode="#,##0.0;[Red]\(#,##0.0\)"/>
    <numFmt numFmtId="172" formatCode="_-* #,##0\ _P_t_s_-;\-* #,##0\ _P_t_s_-;_-* &quot;-&quot;??\ _P_t_s_-;_-@_-"/>
    <numFmt numFmtId="173" formatCode="_-* #,##0.000_-;\-* #,##0.000_-;_-* &quot;-&quot;??_-;_-@_-"/>
    <numFmt numFmtId="174" formatCode="_-* #,##0.000000_-;\-* #,##0.000000_-;_-* &quot;-&quot;??????_-;_-@_-"/>
    <numFmt numFmtId="175" formatCode="_-* #,##0.0000_-;\-* #,##0.0000_-;_-* &quot;-&quot;??_-;_-@_-"/>
    <numFmt numFmtId="176" formatCode="_-* #,##0.000\ _P_t_s_-;\-* #,##0.000\ _P_t_s_-;_-* &quot;-&quot;??\ _P_t_s_-;_-@_-"/>
    <numFmt numFmtId="177" formatCode="_-* #,##0.0000\ _P_t_s_-;\-* #,##0.0000\ _P_t_s_-;_-* &quot;-&quot;??\ _P_t_s_-;_-@_-"/>
    <numFmt numFmtId="178" formatCode="0.00000"/>
    <numFmt numFmtId="179" formatCode="0.0000"/>
    <numFmt numFmtId="180" formatCode="0.000"/>
    <numFmt numFmtId="181" formatCode="_-* #,##0.000_-;\-* #,##0.000_-;_-* &quot;-&quot;???_-;_-@_-"/>
    <numFmt numFmtId="182" formatCode="##,##0;\(##,##0\)"/>
    <numFmt numFmtId="183" formatCode="0.0000%"/>
    <numFmt numFmtId="184" formatCode="_-* #,##0\ _€_-;\-* #,##0\ _€_-;_-* &quot;-&quot;??\ _€_-;_-@_-"/>
    <numFmt numFmtId="185" formatCode="0.0%"/>
    <numFmt numFmtId="186" formatCode="#,##0;\(\ #,##0\)"/>
    <numFmt numFmtId="187" formatCode="#,##0;\(\ \ #,##0\)"/>
    <numFmt numFmtId="188" formatCode="[$-340A]d&quot; de &quot;mmmm&quot; de &quot;yyyy;@"/>
    <numFmt numFmtId="189" formatCode="#,##0.0000;[Red]\(#,##0.0000\)"/>
  </numFmts>
  <fonts count="63">
    <font>
      <sz val="10"/>
      <name val="Arial"/>
    </font>
    <font>
      <sz val="10"/>
      <name val="Arial"/>
      <family val="2"/>
    </font>
    <font>
      <sz val="11"/>
      <color indexed="9"/>
      <name val="Czcionka tekstu podstawowego"/>
      <family val="2"/>
      <charset val="238"/>
    </font>
    <font>
      <sz val="8"/>
      <name val="Arial"/>
      <family val="2"/>
    </font>
    <font>
      <sz val="10"/>
      <name val="Arial Narrow"/>
      <family val="2"/>
    </font>
    <font>
      <b/>
      <sz val="10"/>
      <name val="Arial Narrow"/>
      <family val="2"/>
    </font>
    <font>
      <b/>
      <i/>
      <sz val="12"/>
      <name val="Arial Narrow"/>
      <family val="2"/>
    </font>
    <font>
      <b/>
      <sz val="12"/>
      <name val="Arial Narrow"/>
      <family val="2"/>
    </font>
    <font>
      <b/>
      <i/>
      <sz val="10"/>
      <name val="Arial Narrow"/>
      <family val="2"/>
    </font>
    <font>
      <sz val="10"/>
      <color indexed="12"/>
      <name val="Arial Narrow"/>
      <family val="2"/>
    </font>
    <font>
      <sz val="10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sz val="11"/>
      <color indexed="53"/>
      <name val="Calibri"/>
      <family val="2"/>
    </font>
    <font>
      <b/>
      <sz val="11"/>
      <color indexed="8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16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i/>
      <sz val="10"/>
      <color indexed="23"/>
      <name val="Arial"/>
      <family val="2"/>
    </font>
    <font>
      <b/>
      <sz val="13"/>
      <color indexed="62"/>
      <name val="Calibri"/>
      <family val="2"/>
    </font>
    <font>
      <b/>
      <i/>
      <u/>
      <sz val="12"/>
      <name val="Arial Narrow"/>
      <family val="2"/>
    </font>
    <font>
      <b/>
      <sz val="10"/>
      <name val="Arial"/>
      <family val="2"/>
    </font>
    <font>
      <sz val="10"/>
      <name val="Arial"/>
      <family val="2"/>
    </font>
    <font>
      <u/>
      <sz val="10"/>
      <name val="Arial Narrow"/>
      <family val="2"/>
    </font>
    <font>
      <b/>
      <sz val="8"/>
      <name val="Arial"/>
      <family val="2"/>
    </font>
    <font>
      <b/>
      <sz val="9"/>
      <name val="Arial"/>
      <family val="2"/>
    </font>
    <font>
      <sz val="9"/>
      <name val="Arial Narrow"/>
      <family val="2"/>
    </font>
    <font>
      <sz val="9"/>
      <name val="Arial"/>
      <family val="2"/>
    </font>
    <font>
      <sz val="10"/>
      <color indexed="20"/>
      <name val="Arial Narrow"/>
      <family val="2"/>
    </font>
    <font>
      <sz val="10"/>
      <color indexed="20"/>
      <name val="Arial"/>
      <family val="2"/>
    </font>
    <font>
      <b/>
      <sz val="10"/>
      <color indexed="20"/>
      <name val="Arial Narrow"/>
      <family val="2"/>
    </font>
    <font>
      <b/>
      <sz val="10"/>
      <name val="Tahoma"/>
      <family val="2"/>
    </font>
    <font>
      <sz val="10"/>
      <name val="Tahoma"/>
      <family val="2"/>
    </font>
    <font>
      <b/>
      <i/>
      <sz val="12"/>
      <color indexed="62"/>
      <name val="Arial Narrow"/>
      <family val="2"/>
    </font>
    <font>
      <sz val="10"/>
      <color indexed="62"/>
      <name val="Arial Narrow"/>
      <family val="2"/>
    </font>
    <font>
      <b/>
      <sz val="10"/>
      <color indexed="62"/>
      <name val="Arial Narrow"/>
      <family val="2"/>
    </font>
    <font>
      <b/>
      <sz val="10"/>
      <color indexed="10"/>
      <name val="Tahoma"/>
      <family val="2"/>
    </font>
    <font>
      <i/>
      <sz val="10"/>
      <name val="Tahoma"/>
      <family val="2"/>
    </font>
    <font>
      <b/>
      <sz val="24"/>
      <name val="Arial"/>
      <family val="2"/>
    </font>
    <font>
      <b/>
      <sz val="8"/>
      <color indexed="9"/>
      <name val="Arial"/>
      <family val="2"/>
    </font>
    <font>
      <sz val="8"/>
      <color indexed="12"/>
      <name val="Arial"/>
      <family val="2"/>
    </font>
    <font>
      <b/>
      <sz val="8"/>
      <color indexed="12"/>
      <name val="Arial"/>
      <family val="2"/>
    </font>
    <font>
      <b/>
      <sz val="8"/>
      <name val="Tahoma"/>
      <family val="2"/>
    </font>
    <font>
      <sz val="10"/>
      <color theme="0"/>
      <name val="Arial"/>
      <family val="2"/>
    </font>
    <font>
      <sz val="8"/>
      <color rgb="FFFF0000"/>
      <name val="Arial"/>
      <family val="2"/>
    </font>
    <font>
      <sz val="8"/>
      <color rgb="FF999999"/>
      <name val="Verdana"/>
      <family val="2"/>
    </font>
  </fonts>
  <fills count="54">
    <fill>
      <patternFill patternType="none"/>
    </fill>
    <fill>
      <patternFill patternType="gray125"/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54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47"/>
      </patternFill>
    </fill>
    <fill>
      <patternFill patternType="solid">
        <fgColor indexed="30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24"/>
        <bgColor indexed="24"/>
      </patternFill>
    </fill>
    <fill>
      <patternFill patternType="solid">
        <fgColor indexed="15"/>
        <bgColor indexed="15"/>
      </patternFill>
    </fill>
    <fill>
      <patternFill patternType="solid">
        <fgColor indexed="45"/>
        <bgColor indexed="45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40"/>
        <bgColor indexed="40"/>
      </patternFill>
    </fill>
    <fill>
      <patternFill patternType="solid">
        <fgColor indexed="22"/>
        <bgColor indexed="22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42"/>
        <bgColor indexed="42"/>
      </patternFill>
    </fill>
    <fill>
      <patternFill patternType="solid">
        <fgColor indexed="9"/>
        <bgColor indexed="9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57"/>
      </patternFill>
    </fill>
    <fill>
      <patternFill patternType="solid">
        <fgColor indexed="48"/>
        <bgColor indexed="48"/>
      </patternFill>
    </fill>
    <fill>
      <patternFill patternType="solid">
        <fgColor indexed="25"/>
        <bgColor indexed="25"/>
      </patternFill>
    </fill>
    <fill>
      <patternFill patternType="solid">
        <fgColor indexed="23"/>
        <bgColor indexed="23"/>
      </patternFill>
    </fill>
    <fill>
      <patternFill patternType="solid">
        <fgColor indexed="49"/>
        <bgColor indexed="49"/>
      </patternFill>
    </fill>
    <fill>
      <patternFill patternType="solid">
        <fgColor indexed="52"/>
        <bgColor indexed="52"/>
      </patternFill>
    </fill>
    <fill>
      <patternFill patternType="solid">
        <fgColor indexed="43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15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6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4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08">
    <xf numFmtId="0" fontId="0" fillId="0" borderId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3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8" borderId="0" applyNumberFormat="0" applyBorder="0" applyAlignment="0" applyProtection="0"/>
    <xf numFmtId="0" fontId="13" fillId="11" borderId="0" applyNumberFormat="0" applyBorder="0" applyAlignment="0" applyProtection="0"/>
    <xf numFmtId="0" fontId="2" fillId="12" borderId="0" applyNumberFormat="0" applyBorder="0" applyAlignment="0" applyProtection="0"/>
    <xf numFmtId="0" fontId="14" fillId="8" borderId="0" applyNumberFormat="0" applyBorder="0" applyAlignment="0" applyProtection="0"/>
    <xf numFmtId="0" fontId="14" fillId="3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8" borderId="0" applyNumberFormat="0" applyBorder="0" applyAlignment="0" applyProtection="0"/>
    <xf numFmtId="0" fontId="14" fillId="11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6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6" fillId="18" borderId="0" applyNumberFormat="0" applyBorder="0" applyAlignment="0" applyProtection="0"/>
    <xf numFmtId="0" fontId="15" fillId="19" borderId="0" applyNumberFormat="0" applyBorder="0" applyAlignment="0" applyProtection="0"/>
    <xf numFmtId="0" fontId="15" fillId="20" borderId="0" applyNumberFormat="0" applyBorder="0" applyAlignment="0" applyProtection="0"/>
    <xf numFmtId="0" fontId="16" fillId="21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6" fillId="21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6" fillId="14" borderId="0" applyNumberFormat="0" applyBorder="0" applyAlignment="0" applyProtection="0"/>
    <xf numFmtId="0" fontId="15" fillId="22" borderId="0" applyNumberFormat="0" applyBorder="0" applyAlignment="0" applyProtection="0"/>
    <xf numFmtId="0" fontId="15" fillId="17" borderId="0" applyNumberFormat="0" applyBorder="0" applyAlignment="0" applyProtection="0"/>
    <xf numFmtId="0" fontId="16" fillId="23" borderId="0" applyNumberFormat="0" applyBorder="0" applyAlignment="0" applyProtection="0"/>
    <xf numFmtId="0" fontId="17" fillId="24" borderId="0" applyNumberFormat="0" applyBorder="0" applyAlignment="0" applyProtection="0"/>
    <xf numFmtId="0" fontId="18" fillId="25" borderId="1" applyNumberFormat="0" applyAlignment="0" applyProtection="0"/>
    <xf numFmtId="0" fontId="19" fillId="18" borderId="2" applyNumberFormat="0" applyAlignment="0" applyProtection="0"/>
    <xf numFmtId="0" fontId="20" fillId="0" borderId="3" applyNumberFormat="0" applyFill="0" applyAlignment="0" applyProtection="0"/>
    <xf numFmtId="0" fontId="21" fillId="26" borderId="0" applyNumberFormat="0" applyBorder="0" applyAlignment="0" applyProtection="0"/>
    <xf numFmtId="0" fontId="21" fillId="27" borderId="0" applyNumberFormat="0" applyBorder="0" applyAlignment="0" applyProtection="0"/>
    <xf numFmtId="0" fontId="21" fillId="28" borderId="0" applyNumberFormat="0" applyBorder="0" applyAlignment="0" applyProtection="0"/>
    <xf numFmtId="0" fontId="22" fillId="0" borderId="0" applyNumberFormat="0" applyFill="0" applyBorder="0" applyAlignment="0" applyProtection="0"/>
    <xf numFmtId="0" fontId="16" fillId="29" borderId="0" applyNumberFormat="0" applyBorder="0" applyAlignment="0" applyProtection="0"/>
    <xf numFmtId="0" fontId="16" fillId="30" borderId="0" applyNumberFormat="0" applyBorder="0" applyAlignment="0" applyProtection="0"/>
    <xf numFmtId="0" fontId="16" fillId="18" borderId="0" applyNumberFormat="0" applyBorder="0" applyAlignment="0" applyProtection="0"/>
    <xf numFmtId="0" fontId="16" fillId="31" borderId="0" applyNumberFormat="0" applyBorder="0" applyAlignment="0" applyProtection="0"/>
    <xf numFmtId="0" fontId="16" fillId="32" borderId="0" applyNumberFormat="0" applyBorder="0" applyAlignment="0" applyProtection="0"/>
    <xf numFmtId="0" fontId="16" fillId="33" borderId="0" applyNumberFormat="0" applyBorder="0" applyAlignment="0" applyProtection="0"/>
    <xf numFmtId="0" fontId="23" fillId="23" borderId="1" applyNumberFormat="0" applyAlignment="0" applyProtection="0"/>
    <xf numFmtId="0" fontId="24" fillId="17" borderId="0" applyNumberFormat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5" fillId="23" borderId="0" applyNumberFormat="0" applyBorder="0" applyAlignment="0" applyProtection="0"/>
    <xf numFmtId="0" fontId="15" fillId="0" borderId="0"/>
    <xf numFmtId="0" fontId="10" fillId="22" borderId="4" applyNumberFormat="0" applyFont="0" applyAlignment="0" applyProtection="0"/>
    <xf numFmtId="9" fontId="1" fillId="0" borderId="0" applyFont="0" applyFill="0" applyBorder="0" applyAlignment="0" applyProtection="0"/>
    <xf numFmtId="0" fontId="26" fillId="25" borderId="5" applyNumberFormat="0" applyAlignment="0" applyProtection="0"/>
    <xf numFmtId="4" fontId="27" fillId="34" borderId="6" applyNumberFormat="0" applyProtection="0">
      <alignment vertical="center"/>
    </xf>
    <xf numFmtId="4" fontId="28" fillId="34" borderId="6" applyNumberFormat="0" applyProtection="0">
      <alignment vertical="center"/>
    </xf>
    <xf numFmtId="4" fontId="27" fillId="34" borderId="6" applyNumberFormat="0" applyProtection="0">
      <alignment horizontal="left" vertical="center" indent="1"/>
    </xf>
    <xf numFmtId="0" fontId="27" fillId="34" borderId="6" applyNumberFormat="0" applyProtection="0">
      <alignment horizontal="left" vertical="top" indent="1"/>
    </xf>
    <xf numFmtId="4" fontId="27" fillId="2" borderId="0" applyNumberFormat="0" applyProtection="0">
      <alignment horizontal="left" vertical="center" indent="1"/>
    </xf>
    <xf numFmtId="4" fontId="13" fillId="7" borderId="6" applyNumberFormat="0" applyProtection="0">
      <alignment horizontal="right" vertical="center"/>
    </xf>
    <xf numFmtId="4" fontId="13" fillId="3" borderId="6" applyNumberFormat="0" applyProtection="0">
      <alignment horizontal="right" vertical="center"/>
    </xf>
    <xf numFmtId="4" fontId="13" fillId="35" borderId="6" applyNumberFormat="0" applyProtection="0">
      <alignment horizontal="right" vertical="center"/>
    </xf>
    <xf numFmtId="4" fontId="13" fillId="36" borderId="6" applyNumberFormat="0" applyProtection="0">
      <alignment horizontal="right" vertical="center"/>
    </xf>
    <xf numFmtId="4" fontId="13" fillId="37" borderId="6" applyNumberFormat="0" applyProtection="0">
      <alignment horizontal="right" vertical="center"/>
    </xf>
    <xf numFmtId="4" fontId="13" fillId="38" borderId="6" applyNumberFormat="0" applyProtection="0">
      <alignment horizontal="right" vertical="center"/>
    </xf>
    <xf numFmtId="4" fontId="13" fillId="9" borderId="6" applyNumberFormat="0" applyProtection="0">
      <alignment horizontal="right" vertical="center"/>
    </xf>
    <xf numFmtId="4" fontId="13" fillId="39" borderId="6" applyNumberFormat="0" applyProtection="0">
      <alignment horizontal="right" vertical="center"/>
    </xf>
    <xf numFmtId="4" fontId="13" fillId="40" borderId="6" applyNumberFormat="0" applyProtection="0">
      <alignment horizontal="right" vertical="center"/>
    </xf>
    <xf numFmtId="4" fontId="27" fillId="41" borderId="7" applyNumberFormat="0" applyProtection="0">
      <alignment horizontal="left" vertical="center" indent="1"/>
    </xf>
    <xf numFmtId="4" fontId="13" fillId="42" borderId="0" applyNumberFormat="0" applyProtection="0">
      <alignment horizontal="left" vertical="center" indent="1"/>
    </xf>
    <xf numFmtId="4" fontId="29" fillId="8" borderId="0" applyNumberFormat="0" applyProtection="0">
      <alignment horizontal="left" vertical="center" indent="1"/>
    </xf>
    <xf numFmtId="4" fontId="13" fillId="2" borderId="6" applyNumberFormat="0" applyProtection="0">
      <alignment horizontal="right" vertical="center"/>
    </xf>
    <xf numFmtId="4" fontId="13" fillId="42" borderId="0" applyNumberFormat="0" applyProtection="0">
      <alignment horizontal="left" vertical="center" indent="1"/>
    </xf>
    <xf numFmtId="4" fontId="13" fillId="2" borderId="0" applyNumberFormat="0" applyProtection="0">
      <alignment horizontal="left" vertical="center" indent="1"/>
    </xf>
    <xf numFmtId="0" fontId="10" fillId="8" borderId="6" applyNumberFormat="0" applyProtection="0">
      <alignment horizontal="left" vertical="center" indent="1"/>
    </xf>
    <xf numFmtId="0" fontId="10" fillId="8" borderId="6" applyNumberFormat="0" applyProtection="0">
      <alignment horizontal="left" vertical="top" indent="1"/>
    </xf>
    <xf numFmtId="0" fontId="10" fillId="2" borderId="6" applyNumberFormat="0" applyProtection="0">
      <alignment horizontal="left" vertical="center" indent="1"/>
    </xf>
    <xf numFmtId="0" fontId="10" fillId="2" borderId="6" applyNumberFormat="0" applyProtection="0">
      <alignment horizontal="left" vertical="top" indent="1"/>
    </xf>
    <xf numFmtId="0" fontId="10" fillId="6" borderId="6" applyNumberFormat="0" applyProtection="0">
      <alignment horizontal="left" vertical="center" indent="1"/>
    </xf>
    <xf numFmtId="0" fontId="10" fillId="6" borderId="6" applyNumberFormat="0" applyProtection="0">
      <alignment horizontal="left" vertical="top" indent="1"/>
    </xf>
    <xf numFmtId="0" fontId="10" fillId="42" borderId="6" applyNumberFormat="0" applyProtection="0">
      <alignment horizontal="left" vertical="center" indent="1"/>
    </xf>
    <xf numFmtId="0" fontId="10" fillId="42" borderId="6" applyNumberFormat="0" applyProtection="0">
      <alignment horizontal="left" vertical="top" indent="1"/>
    </xf>
    <xf numFmtId="0" fontId="10" fillId="5" borderId="8" applyNumberFormat="0">
      <protection locked="0"/>
    </xf>
    <xf numFmtId="0" fontId="41" fillId="8" borderId="9" applyBorder="0"/>
    <xf numFmtId="4" fontId="13" fillId="4" borderId="6" applyNumberFormat="0" applyProtection="0">
      <alignment vertical="center"/>
    </xf>
    <xf numFmtId="4" fontId="30" fillId="4" borderId="6" applyNumberFormat="0" applyProtection="0">
      <alignment vertical="center"/>
    </xf>
    <xf numFmtId="4" fontId="13" fillId="4" borderId="6" applyNumberFormat="0" applyProtection="0">
      <alignment horizontal="left" vertical="center" indent="1"/>
    </xf>
    <xf numFmtId="0" fontId="13" fillId="4" borderId="6" applyNumberFormat="0" applyProtection="0">
      <alignment horizontal="left" vertical="top" indent="1"/>
    </xf>
    <xf numFmtId="4" fontId="13" fillId="42" borderId="6" applyNumberFormat="0" applyProtection="0">
      <alignment horizontal="right" vertical="center"/>
    </xf>
    <xf numFmtId="4" fontId="30" fillId="42" borderId="6" applyNumberFormat="0" applyProtection="0">
      <alignment horizontal="right" vertical="center"/>
    </xf>
    <xf numFmtId="4" fontId="13" fillId="2" borderId="6" applyNumberFormat="0" applyProtection="0">
      <alignment horizontal="left" vertical="center" indent="1"/>
    </xf>
    <xf numFmtId="0" fontId="13" fillId="2" borderId="6" applyNumberFormat="0" applyProtection="0">
      <alignment horizontal="left" vertical="top" indent="1"/>
    </xf>
    <xf numFmtId="4" fontId="31" fillId="43" borderId="0" applyNumberFormat="0" applyProtection="0">
      <alignment horizontal="left" vertical="center" indent="1"/>
    </xf>
    <xf numFmtId="4" fontId="32" fillId="42" borderId="6" applyNumberFormat="0" applyProtection="0">
      <alignment horizontal="right" vertical="center"/>
    </xf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6" fillId="0" borderId="10" applyNumberFormat="0" applyFill="0" applyAlignment="0" applyProtection="0"/>
    <xf numFmtId="0" fontId="22" fillId="0" borderId="11" applyNumberFormat="0" applyFill="0" applyAlignment="0" applyProtection="0"/>
    <xf numFmtId="0" fontId="21" fillId="0" borderId="12" applyNumberFormat="0" applyFill="0" applyAlignment="0" applyProtection="0"/>
  </cellStyleXfs>
  <cellXfs count="343">
    <xf numFmtId="0" fontId="0" fillId="0" borderId="0" xfId="0"/>
    <xf numFmtId="0" fontId="4" fillId="0" borderId="0" xfId="0" applyFont="1"/>
    <xf numFmtId="0" fontId="4" fillId="0" borderId="0" xfId="0" applyFont="1" applyFill="1"/>
    <xf numFmtId="174" fontId="4" fillId="0" borderId="0" xfId="0" applyNumberFormat="1" applyFont="1"/>
    <xf numFmtId="166" fontId="4" fillId="0" borderId="0" xfId="0" applyNumberFormat="1" applyFont="1" applyFill="1"/>
    <xf numFmtId="0" fontId="4" fillId="0" borderId="0" xfId="0" applyFont="1" applyFill="1" applyBorder="1"/>
    <xf numFmtId="0" fontId="6" fillId="0" borderId="8" xfId="0" applyFont="1" applyBorder="1"/>
    <xf numFmtId="0" fontId="4" fillId="0" borderId="8" xfId="0" applyFont="1" applyBorder="1"/>
    <xf numFmtId="0" fontId="7" fillId="0" borderId="0" xfId="0" applyFont="1"/>
    <xf numFmtId="165" fontId="5" fillId="44" borderId="0" xfId="55" quotePrefix="1" applyNumberFormat="1" applyFont="1" applyFill="1" applyAlignment="1">
      <alignment horizontal="center"/>
    </xf>
    <xf numFmtId="165" fontId="5" fillId="0" borderId="0" xfId="55" quotePrefix="1" applyNumberFormat="1" applyFont="1" applyFill="1" applyBorder="1" applyAlignment="1">
      <alignment horizontal="center"/>
    </xf>
    <xf numFmtId="0" fontId="8" fillId="0" borderId="8" xfId="0" applyFont="1" applyBorder="1"/>
    <xf numFmtId="0" fontId="6" fillId="0" borderId="13" xfId="0" applyFont="1" applyBorder="1"/>
    <xf numFmtId="166" fontId="4" fillId="0" borderId="0" xfId="0" applyNumberFormat="1" applyFont="1"/>
    <xf numFmtId="166" fontId="4" fillId="0" borderId="0" xfId="0" applyNumberFormat="1" applyFont="1" applyFill="1" applyBorder="1"/>
    <xf numFmtId="0" fontId="4" fillId="0" borderId="8" xfId="0" applyFont="1" applyBorder="1" applyAlignment="1">
      <alignment horizontal="center"/>
    </xf>
    <xf numFmtId="165" fontId="4" fillId="0" borderId="8" xfId="55" applyNumberFormat="1" applyFont="1" applyBorder="1"/>
    <xf numFmtId="165" fontId="4" fillId="0" borderId="0" xfId="55" applyNumberFormat="1" applyFont="1"/>
    <xf numFmtId="0" fontId="5" fillId="0" borderId="0" xfId="0" applyFont="1"/>
    <xf numFmtId="175" fontId="4" fillId="0" borderId="0" xfId="55" applyNumberFormat="1" applyFont="1"/>
    <xf numFmtId="0" fontId="8" fillId="0" borderId="14" xfId="0" applyFont="1" applyBorder="1"/>
    <xf numFmtId="0" fontId="4" fillId="0" borderId="0" xfId="0" applyFont="1" applyBorder="1"/>
    <xf numFmtId="0" fontId="4" fillId="0" borderId="15" xfId="0" applyFont="1" applyBorder="1"/>
    <xf numFmtId="166" fontId="4" fillId="0" borderId="15" xfId="0" applyNumberFormat="1" applyFont="1" applyBorder="1"/>
    <xf numFmtId="2" fontId="5" fillId="0" borderId="0" xfId="0" applyNumberFormat="1" applyFont="1" applyFill="1" applyBorder="1"/>
    <xf numFmtId="10" fontId="4" fillId="0" borderId="0" xfId="59" applyNumberFormat="1" applyFont="1"/>
    <xf numFmtId="167" fontId="5" fillId="0" borderId="0" xfId="0" applyNumberFormat="1" applyFont="1" applyFill="1" applyBorder="1"/>
    <xf numFmtId="184" fontId="4" fillId="0" borderId="16" xfId="0" applyNumberFormat="1" applyFont="1" applyBorder="1"/>
    <xf numFmtId="0" fontId="4" fillId="0" borderId="17" xfId="0" applyFont="1" applyBorder="1"/>
    <xf numFmtId="0" fontId="4" fillId="0" borderId="17" xfId="0" applyFont="1" applyBorder="1" applyAlignment="1">
      <alignment horizontal="center"/>
    </xf>
    <xf numFmtId="165" fontId="4" fillId="0" borderId="17" xfId="55" applyNumberFormat="1" applyFont="1" applyBorder="1"/>
    <xf numFmtId="0" fontId="5" fillId="44" borderId="18" xfId="0" applyFont="1" applyFill="1" applyBorder="1"/>
    <xf numFmtId="0" fontId="4" fillId="44" borderId="19" xfId="0" applyFont="1" applyFill="1" applyBorder="1"/>
    <xf numFmtId="165" fontId="5" fillId="44" borderId="19" xfId="55" applyNumberFormat="1" applyFont="1" applyFill="1" applyBorder="1"/>
    <xf numFmtId="165" fontId="5" fillId="0" borderId="0" xfId="55" applyNumberFormat="1" applyFont="1"/>
    <xf numFmtId="0" fontId="5" fillId="0" borderId="0" xfId="0" applyFont="1" applyFill="1" applyBorder="1"/>
    <xf numFmtId="0" fontId="4" fillId="0" borderId="14" xfId="0" applyFont="1" applyBorder="1"/>
    <xf numFmtId="165" fontId="4" fillId="0" borderId="0" xfId="55" applyNumberFormat="1" applyFont="1" applyBorder="1"/>
    <xf numFmtId="0" fontId="4" fillId="0" borderId="15" xfId="0" applyFont="1" applyFill="1" applyBorder="1"/>
    <xf numFmtId="10" fontId="5" fillId="0" borderId="0" xfId="0" applyNumberFormat="1" applyFont="1" applyFill="1" applyBorder="1"/>
    <xf numFmtId="0" fontId="5" fillId="0" borderId="8" xfId="0" applyFont="1" applyBorder="1"/>
    <xf numFmtId="182" fontId="4" fillId="0" borderId="8" xfId="55" applyNumberFormat="1" applyFont="1" applyBorder="1"/>
    <xf numFmtId="182" fontId="5" fillId="0" borderId="8" xfId="55" applyNumberFormat="1" applyFont="1" applyBorder="1"/>
    <xf numFmtId="169" fontId="4" fillId="0" borderId="0" xfId="0" applyNumberFormat="1" applyFont="1" applyFill="1"/>
    <xf numFmtId="165" fontId="4" fillId="0" borderId="0" xfId="55" applyNumberFormat="1" applyFont="1" applyFill="1"/>
    <xf numFmtId="172" fontId="4" fillId="0" borderId="0" xfId="55" applyNumberFormat="1" applyFont="1"/>
    <xf numFmtId="169" fontId="5" fillId="0" borderId="0" xfId="0" applyNumberFormat="1" applyFont="1" applyFill="1" applyBorder="1"/>
    <xf numFmtId="178" fontId="4" fillId="0" borderId="0" xfId="0" applyNumberFormat="1" applyFont="1"/>
    <xf numFmtId="10" fontId="4" fillId="0" borderId="0" xfId="0" applyNumberFormat="1" applyFont="1" applyFill="1"/>
    <xf numFmtId="183" fontId="4" fillId="0" borderId="0" xfId="59" applyNumberFormat="1" applyFont="1"/>
    <xf numFmtId="166" fontId="4" fillId="0" borderId="15" xfId="0" applyNumberFormat="1" applyFont="1" applyFill="1" applyBorder="1"/>
    <xf numFmtId="171" fontId="5" fillId="0" borderId="0" xfId="0" applyNumberFormat="1" applyFont="1" applyFill="1" applyBorder="1"/>
    <xf numFmtId="166" fontId="5" fillId="0" borderId="0" xfId="0" applyNumberFormat="1" applyFont="1"/>
    <xf numFmtId="182" fontId="4" fillId="0" borderId="0" xfId="55" applyNumberFormat="1" applyFont="1" applyFill="1" applyBorder="1"/>
    <xf numFmtId="165" fontId="4" fillId="0" borderId="0" xfId="0" applyNumberFormat="1" applyFont="1" applyFill="1"/>
    <xf numFmtId="169" fontId="4" fillId="0" borderId="0" xfId="0" applyNumberFormat="1" applyFont="1" applyFill="1" applyBorder="1"/>
    <xf numFmtId="170" fontId="5" fillId="0" borderId="0" xfId="0" applyNumberFormat="1" applyFont="1" applyFill="1" applyBorder="1"/>
    <xf numFmtId="172" fontId="4" fillId="0" borderId="0" xfId="55" applyNumberFormat="1" applyFont="1" applyFill="1"/>
    <xf numFmtId="168" fontId="4" fillId="0" borderId="15" xfId="0" applyNumberFormat="1" applyFont="1" applyFill="1" applyBorder="1"/>
    <xf numFmtId="168" fontId="4" fillId="0" borderId="0" xfId="0" applyNumberFormat="1" applyFont="1" applyFill="1" applyBorder="1"/>
    <xf numFmtId="177" fontId="4" fillId="0" borderId="0" xfId="0" applyNumberFormat="1" applyFont="1" applyFill="1"/>
    <xf numFmtId="10" fontId="4" fillId="0" borderId="0" xfId="59" applyNumberFormat="1" applyFont="1" applyFill="1"/>
    <xf numFmtId="4" fontId="4" fillId="0" borderId="0" xfId="0" applyNumberFormat="1" applyFont="1"/>
    <xf numFmtId="4" fontId="4" fillId="0" borderId="0" xfId="0" applyNumberFormat="1" applyFont="1" applyFill="1"/>
    <xf numFmtId="180" fontId="4" fillId="0" borderId="0" xfId="0" applyNumberFormat="1" applyFont="1" applyFill="1"/>
    <xf numFmtId="49" fontId="5" fillId="44" borderId="8" xfId="55" applyNumberFormat="1" applyFont="1" applyFill="1" applyBorder="1" applyAlignment="1">
      <alignment horizontal="center"/>
    </xf>
    <xf numFmtId="0" fontId="4" fillId="45" borderId="8" xfId="0" applyFont="1" applyFill="1" applyBorder="1"/>
    <xf numFmtId="0" fontId="4" fillId="45" borderId="8" xfId="0" applyFont="1" applyFill="1" applyBorder="1" applyAlignment="1">
      <alignment horizontal="center"/>
    </xf>
    <xf numFmtId="0" fontId="4" fillId="0" borderId="20" xfId="0" applyFont="1" applyBorder="1"/>
    <xf numFmtId="0" fontId="4" fillId="0" borderId="20" xfId="0" applyFont="1" applyBorder="1" applyAlignment="1">
      <alignment horizontal="center"/>
    </xf>
    <xf numFmtId="182" fontId="4" fillId="0" borderId="20" xfId="55" applyNumberFormat="1" applyFont="1" applyBorder="1"/>
    <xf numFmtId="0" fontId="4" fillId="0" borderId="21" xfId="0" applyFont="1" applyBorder="1"/>
    <xf numFmtId="0" fontId="37" fillId="0" borderId="0" xfId="0" applyFont="1"/>
    <xf numFmtId="49" fontId="5" fillId="46" borderId="8" xfId="55" applyNumberFormat="1" applyFont="1" applyFill="1" applyBorder="1" applyAlignment="1">
      <alignment horizontal="center"/>
    </xf>
    <xf numFmtId="0" fontId="5" fillId="0" borderId="8" xfId="0" applyFont="1" applyFill="1" applyBorder="1"/>
    <xf numFmtId="0" fontId="5" fillId="0" borderId="8" xfId="0" applyFont="1" applyFill="1" applyBorder="1" applyAlignment="1">
      <alignment horizontal="center"/>
    </xf>
    <xf numFmtId="182" fontId="4" fillId="0" borderId="8" xfId="55" applyNumberFormat="1" applyFont="1" applyFill="1" applyBorder="1"/>
    <xf numFmtId="0" fontId="4" fillId="0" borderId="8" xfId="0" applyFont="1" applyFill="1" applyBorder="1"/>
    <xf numFmtId="0" fontId="4" fillId="0" borderId="8" xfId="0" applyFont="1" applyFill="1" applyBorder="1" applyAlignment="1">
      <alignment horizontal="center"/>
    </xf>
    <xf numFmtId="165" fontId="4" fillId="46" borderId="0" xfId="55" applyNumberFormat="1" applyFont="1" applyFill="1"/>
    <xf numFmtId="182" fontId="4" fillId="46" borderId="0" xfId="55" applyNumberFormat="1" applyFont="1" applyFill="1" applyBorder="1"/>
    <xf numFmtId="173" fontId="4" fillId="0" borderId="15" xfId="55" applyNumberFormat="1" applyFont="1" applyBorder="1"/>
    <xf numFmtId="0" fontId="39" fillId="0" borderId="0" xfId="0" applyFont="1"/>
    <xf numFmtId="0" fontId="40" fillId="0" borderId="0" xfId="0" applyFont="1" applyFill="1" applyBorder="1"/>
    <xf numFmtId="2" fontId="9" fillId="0" borderId="0" xfId="0" applyNumberFormat="1" applyFont="1" applyFill="1"/>
    <xf numFmtId="186" fontId="4" fillId="0" borderId="0" xfId="0" applyNumberFormat="1" applyFont="1"/>
    <xf numFmtId="166" fontId="42" fillId="0" borderId="0" xfId="0" applyNumberFormat="1" applyFont="1"/>
    <xf numFmtId="166" fontId="43" fillId="0" borderId="0" xfId="0" applyNumberFormat="1" applyFont="1" applyFill="1"/>
    <xf numFmtId="0" fontId="44" fillId="0" borderId="0" xfId="0" applyFont="1"/>
    <xf numFmtId="0" fontId="44" fillId="0" borderId="0" xfId="0" applyFont="1" applyFill="1" applyBorder="1"/>
    <xf numFmtId="0" fontId="44" fillId="0" borderId="0" xfId="0" applyFont="1" applyBorder="1"/>
    <xf numFmtId="165" fontId="44" fillId="0" borderId="0" xfId="55" applyNumberFormat="1" applyFont="1"/>
    <xf numFmtId="166" fontId="44" fillId="0" borderId="0" xfId="0" applyNumberFormat="1" applyFont="1" applyFill="1" applyBorder="1"/>
    <xf numFmtId="166" fontId="44" fillId="0" borderId="0" xfId="0" applyNumberFormat="1" applyFont="1"/>
    <xf numFmtId="10" fontId="42" fillId="0" borderId="0" xfId="0" applyNumberFormat="1" applyFont="1" applyFill="1"/>
    <xf numFmtId="0" fontId="44" fillId="0" borderId="0" xfId="0" applyFont="1" applyFill="1"/>
    <xf numFmtId="166" fontId="44" fillId="0" borderId="0" xfId="0" applyNumberFormat="1" applyFont="1" applyFill="1"/>
    <xf numFmtId="170" fontId="42" fillId="0" borderId="0" xfId="0" applyNumberFormat="1" applyFont="1" applyFill="1"/>
    <xf numFmtId="169" fontId="42" fillId="0" borderId="0" xfId="0" applyNumberFormat="1" applyFont="1" applyFill="1" applyBorder="1"/>
    <xf numFmtId="0" fontId="44" fillId="0" borderId="8" xfId="0" applyFont="1" applyFill="1" applyBorder="1"/>
    <xf numFmtId="0" fontId="44" fillId="0" borderId="8" xfId="0" applyFont="1" applyFill="1" applyBorder="1" applyAlignment="1">
      <alignment horizontal="center"/>
    </xf>
    <xf numFmtId="0" fontId="45" fillId="0" borderId="0" xfId="0" applyFont="1"/>
    <xf numFmtId="0" fontId="45" fillId="0" borderId="0" xfId="0" applyFont="1" applyFill="1" applyBorder="1"/>
    <xf numFmtId="179" fontId="45" fillId="0" borderId="0" xfId="0" applyNumberFormat="1" applyFont="1" applyFill="1" applyBorder="1"/>
    <xf numFmtId="10" fontId="45" fillId="0" borderId="0" xfId="59" applyNumberFormat="1" applyFont="1" applyFill="1" applyBorder="1"/>
    <xf numFmtId="165" fontId="45" fillId="0" borderId="0" xfId="0" applyNumberFormat="1" applyFont="1" applyFill="1" applyBorder="1"/>
    <xf numFmtId="172" fontId="45" fillId="0" borderId="0" xfId="55" applyNumberFormat="1" applyFont="1" applyFill="1" applyBorder="1"/>
    <xf numFmtId="176" fontId="45" fillId="0" borderId="0" xfId="0" applyNumberFormat="1" applyFont="1" applyFill="1" applyBorder="1"/>
    <xf numFmtId="166" fontId="45" fillId="0" borderId="0" xfId="0" applyNumberFormat="1" applyFont="1" applyFill="1" applyBorder="1"/>
    <xf numFmtId="0" fontId="46" fillId="0" borderId="0" xfId="0" applyFont="1"/>
    <xf numFmtId="10" fontId="45" fillId="0" borderId="0" xfId="0" applyNumberFormat="1" applyFont="1" applyFill="1"/>
    <xf numFmtId="166" fontId="45" fillId="0" borderId="0" xfId="0" applyNumberFormat="1" applyFont="1" applyFill="1"/>
    <xf numFmtId="10" fontId="47" fillId="0" borderId="0" xfId="0" applyNumberFormat="1" applyFont="1" applyFill="1"/>
    <xf numFmtId="180" fontId="44" fillId="0" borderId="0" xfId="0" applyNumberFormat="1" applyFont="1" applyBorder="1"/>
    <xf numFmtId="165" fontId="44" fillId="0" borderId="0" xfId="55" quotePrefix="1" applyNumberFormat="1" applyFont="1" applyBorder="1" applyAlignment="1">
      <alignment horizontal="center"/>
    </xf>
    <xf numFmtId="0" fontId="44" fillId="0" borderId="0" xfId="0" applyFont="1" applyBorder="1" applyAlignment="1">
      <alignment horizontal="center"/>
    </xf>
    <xf numFmtId="14" fontId="44" fillId="0" borderId="0" xfId="0" applyNumberFormat="1" applyFont="1" applyBorder="1" applyAlignment="1">
      <alignment horizontal="center"/>
    </xf>
    <xf numFmtId="0" fontId="49" fillId="0" borderId="14" xfId="0" applyFont="1" applyBorder="1"/>
    <xf numFmtId="0" fontId="48" fillId="0" borderId="14" xfId="0" applyFont="1" applyBorder="1"/>
    <xf numFmtId="2" fontId="9" fillId="0" borderId="0" xfId="59" applyNumberFormat="1" applyFont="1" applyFill="1"/>
    <xf numFmtId="0" fontId="50" fillId="0" borderId="13" xfId="0" applyFont="1" applyBorder="1"/>
    <xf numFmtId="0" fontId="51" fillId="0" borderId="0" xfId="0" applyFont="1"/>
    <xf numFmtId="166" fontId="51" fillId="0" borderId="0" xfId="0" applyNumberFormat="1" applyFont="1"/>
    <xf numFmtId="166" fontId="51" fillId="0" borderId="0" xfId="0" applyNumberFormat="1" applyFont="1" applyFill="1"/>
    <xf numFmtId="0" fontId="52" fillId="0" borderId="0" xfId="0" applyFont="1"/>
    <xf numFmtId="0" fontId="51" fillId="0" borderId="15" xfId="0" applyFont="1" applyBorder="1"/>
    <xf numFmtId="166" fontId="51" fillId="0" borderId="15" xfId="0" applyNumberFormat="1" applyFont="1" applyBorder="1"/>
    <xf numFmtId="2" fontId="51" fillId="0" borderId="0" xfId="0" applyNumberFormat="1" applyFont="1" applyFill="1"/>
    <xf numFmtId="10" fontId="51" fillId="0" borderId="0" xfId="0" applyNumberFormat="1" applyFont="1" applyFill="1"/>
    <xf numFmtId="0" fontId="51" fillId="0" borderId="0" xfId="0" quotePrefix="1" applyFont="1"/>
    <xf numFmtId="166" fontId="51" fillId="0" borderId="15" xfId="0" applyNumberFormat="1" applyFont="1" applyFill="1" applyBorder="1"/>
    <xf numFmtId="0" fontId="48" fillId="0" borderId="22" xfId="0" applyFont="1" applyBorder="1"/>
    <xf numFmtId="187" fontId="49" fillId="0" borderId="0" xfId="0" applyNumberFormat="1" applyFont="1" applyBorder="1" applyAlignment="1">
      <alignment horizontal="right"/>
    </xf>
    <xf numFmtId="187" fontId="48" fillId="0" borderId="0" xfId="0" applyNumberFormat="1" applyFont="1" applyBorder="1" applyAlignment="1">
      <alignment horizontal="right"/>
    </xf>
    <xf numFmtId="187" fontId="48" fillId="0" borderId="23" xfId="0" applyNumberFormat="1" applyFont="1" applyBorder="1" applyAlignment="1">
      <alignment horizontal="right"/>
    </xf>
    <xf numFmtId="49" fontId="5" fillId="44" borderId="8" xfId="55" quotePrefix="1" applyNumberFormat="1" applyFont="1" applyFill="1" applyBorder="1" applyAlignment="1">
      <alignment horizontal="center"/>
    </xf>
    <xf numFmtId="0" fontId="53" fillId="0" borderId="14" xfId="0" applyFont="1" applyBorder="1"/>
    <xf numFmtId="187" fontId="53" fillId="0" borderId="0" xfId="0" applyNumberFormat="1" applyFont="1" applyBorder="1" applyAlignment="1">
      <alignment horizontal="right"/>
    </xf>
    <xf numFmtId="0" fontId="0" fillId="0" borderId="24" xfId="0" applyBorder="1"/>
    <xf numFmtId="17" fontId="0" fillId="0" borderId="20" xfId="0" quotePrefix="1" applyNumberFormat="1" applyBorder="1" applyAlignment="1">
      <alignment horizontal="right"/>
    </xf>
    <xf numFmtId="187" fontId="49" fillId="0" borderId="25" xfId="0" applyNumberFormat="1" applyFont="1" applyBorder="1" applyAlignment="1">
      <alignment horizontal="right"/>
    </xf>
    <xf numFmtId="0" fontId="0" fillId="0" borderId="26" xfId="0" applyBorder="1"/>
    <xf numFmtId="14" fontId="0" fillId="0" borderId="0" xfId="0" applyNumberFormat="1" applyBorder="1"/>
    <xf numFmtId="187" fontId="49" fillId="0" borderId="27" xfId="0" applyNumberFormat="1" applyFont="1" applyBorder="1" applyAlignment="1">
      <alignment horizontal="right"/>
    </xf>
    <xf numFmtId="0" fontId="0" fillId="0" borderId="28" xfId="0" applyBorder="1"/>
    <xf numFmtId="0" fontId="0" fillId="0" borderId="15" xfId="0" quotePrefix="1" applyBorder="1" applyAlignment="1">
      <alignment horizontal="right"/>
    </xf>
    <xf numFmtId="187" fontId="49" fillId="0" borderId="29" xfId="0" applyNumberFormat="1" applyFont="1" applyBorder="1" applyAlignment="1">
      <alignment horizontal="right"/>
    </xf>
    <xf numFmtId="181" fontId="39" fillId="0" borderId="0" xfId="0" applyNumberFormat="1" applyFont="1"/>
    <xf numFmtId="0" fontId="10" fillId="0" borderId="0" xfId="0" applyFont="1"/>
    <xf numFmtId="179" fontId="0" fillId="0" borderId="0" xfId="0" applyNumberFormat="1" applyFill="1"/>
    <xf numFmtId="187" fontId="0" fillId="0" borderId="0" xfId="0" applyNumberFormat="1"/>
    <xf numFmtId="10" fontId="44" fillId="0" borderId="0" xfId="59" applyNumberFormat="1" applyFont="1"/>
    <xf numFmtId="182" fontId="4" fillId="0" borderId="0" xfId="55" applyNumberFormat="1" applyFont="1" applyBorder="1"/>
    <xf numFmtId="182" fontId="5" fillId="0" borderId="0" xfId="55" applyNumberFormat="1" applyFont="1" applyBorder="1"/>
    <xf numFmtId="49" fontId="5" fillId="0" borderId="0" xfId="55" quotePrefix="1" applyNumberFormat="1" applyFont="1" applyFill="1" applyBorder="1" applyAlignment="1">
      <alignment horizontal="center"/>
    </xf>
    <xf numFmtId="165" fontId="4" fillId="0" borderId="0" xfId="55" applyNumberFormat="1" applyFont="1" applyFill="1" applyBorder="1"/>
    <xf numFmtId="165" fontId="5" fillId="0" borderId="0" xfId="55" applyNumberFormat="1" applyFont="1" applyFill="1" applyBorder="1"/>
    <xf numFmtId="0" fontId="49" fillId="0" borderId="0" xfId="0" applyFont="1"/>
    <xf numFmtId="0" fontId="49" fillId="0" borderId="0" xfId="0" applyFont="1" applyAlignment="1">
      <alignment horizontal="center"/>
    </xf>
    <xf numFmtId="0" fontId="48" fillId="0" borderId="30" xfId="0" applyFont="1" applyBorder="1"/>
    <xf numFmtId="0" fontId="48" fillId="0" borderId="0" xfId="0" applyFont="1"/>
    <xf numFmtId="0" fontId="49" fillId="0" borderId="22" xfId="0" applyFont="1" applyBorder="1"/>
    <xf numFmtId="0" fontId="48" fillId="0" borderId="0" xfId="0" applyFont="1" applyAlignment="1">
      <alignment horizontal="justify"/>
    </xf>
    <xf numFmtId="0" fontId="49" fillId="0" borderId="14" xfId="0" applyFont="1" applyFill="1" applyBorder="1"/>
    <xf numFmtId="10" fontId="49" fillId="0" borderId="0" xfId="59" applyNumberFormat="1" applyFont="1"/>
    <xf numFmtId="182" fontId="49" fillId="0" borderId="0" xfId="0" applyNumberFormat="1" applyFont="1"/>
    <xf numFmtId="0" fontId="48" fillId="51" borderId="19" xfId="0" quotePrefix="1" applyFont="1" applyFill="1" applyBorder="1" applyAlignment="1">
      <alignment horizontal="center" vertical="center" wrapText="1"/>
    </xf>
    <xf numFmtId="0" fontId="48" fillId="51" borderId="31" xfId="0" applyFont="1" applyFill="1" applyBorder="1" applyAlignment="1">
      <alignment horizontal="center" vertical="center" wrapText="1"/>
    </xf>
    <xf numFmtId="0" fontId="48" fillId="51" borderId="32" xfId="0" applyFont="1" applyFill="1" applyBorder="1" applyAlignment="1">
      <alignment horizontal="left" vertical="center" wrapText="1"/>
    </xf>
    <xf numFmtId="0" fontId="48" fillId="51" borderId="18" xfId="0" applyFont="1" applyFill="1" applyBorder="1" applyAlignment="1">
      <alignment horizontal="left" vertical="center" wrapText="1"/>
    </xf>
    <xf numFmtId="17" fontId="48" fillId="51" borderId="19" xfId="0" quotePrefix="1" applyNumberFormat="1" applyFont="1" applyFill="1" applyBorder="1" applyAlignment="1">
      <alignment horizontal="center" vertical="center" wrapText="1"/>
    </xf>
    <xf numFmtId="0" fontId="48" fillId="0" borderId="33" xfId="0" applyFont="1" applyFill="1" applyBorder="1" applyAlignment="1">
      <alignment wrapText="1"/>
    </xf>
    <xf numFmtId="0" fontId="49" fillId="0" borderId="0" xfId="0" applyFont="1" applyBorder="1" applyAlignment="1">
      <alignment horizontal="center"/>
    </xf>
    <xf numFmtId="0" fontId="49" fillId="0" borderId="0" xfId="0" applyFont="1" applyBorder="1"/>
    <xf numFmtId="0" fontId="49" fillId="0" borderId="34" xfId="0" applyFont="1" applyBorder="1"/>
    <xf numFmtId="0" fontId="48" fillId="0" borderId="14" xfId="0" applyFont="1" applyFill="1" applyBorder="1" applyAlignment="1">
      <alignment horizontal="left" wrapText="1" indent="2"/>
    </xf>
    <xf numFmtId="0" fontId="49" fillId="0" borderId="35" xfId="0" applyFont="1" applyBorder="1" applyAlignment="1">
      <alignment horizontal="center"/>
    </xf>
    <xf numFmtId="0" fontId="49" fillId="0" borderId="36" xfId="0" applyFont="1" applyFill="1" applyBorder="1" applyAlignment="1">
      <alignment horizontal="center" wrapText="1"/>
    </xf>
    <xf numFmtId="0" fontId="49" fillId="0" borderId="0" xfId="0" applyFont="1" applyFill="1" applyBorder="1" applyAlignment="1">
      <alignment horizontal="center" vertical="center"/>
    </xf>
    <xf numFmtId="0" fontId="48" fillId="0" borderId="0" xfId="0" applyFont="1" applyFill="1" applyBorder="1" applyAlignment="1">
      <alignment horizontal="center" vertical="center" wrapText="1"/>
    </xf>
    <xf numFmtId="0" fontId="48" fillId="0" borderId="34" xfId="0" applyFont="1" applyFill="1" applyBorder="1" applyAlignment="1">
      <alignment horizontal="center" vertical="center" wrapText="1"/>
    </xf>
    <xf numFmtId="0" fontId="48" fillId="0" borderId="14" xfId="0" applyFont="1" applyBorder="1" applyAlignment="1">
      <alignment horizontal="left" indent="1"/>
    </xf>
    <xf numFmtId="187" fontId="49" fillId="0" borderId="34" xfId="0" applyNumberFormat="1" applyFont="1" applyBorder="1" applyAlignment="1">
      <alignment horizontal="right"/>
    </xf>
    <xf numFmtId="0" fontId="48" fillId="0" borderId="14" xfId="0" applyFont="1" applyFill="1" applyBorder="1" applyAlignment="1">
      <alignment wrapText="1"/>
    </xf>
    <xf numFmtId="0" fontId="49" fillId="0" borderId="34" xfId="0" applyFont="1" applyBorder="1" applyAlignment="1">
      <alignment horizontal="left" indent="1"/>
    </xf>
    <xf numFmtId="0" fontId="49" fillId="0" borderId="0" xfId="0" applyFont="1" applyBorder="1" applyAlignment="1">
      <alignment horizontal="right"/>
    </xf>
    <xf numFmtId="165" fontId="49" fillId="0" borderId="37" xfId="54" applyNumberFormat="1" applyFont="1" applyBorder="1"/>
    <xf numFmtId="0" fontId="49" fillId="0" borderId="14" xfId="0" applyFont="1" applyBorder="1" applyAlignment="1">
      <alignment horizontal="justify"/>
    </xf>
    <xf numFmtId="185" fontId="49" fillId="0" borderId="34" xfId="59" applyNumberFormat="1" applyFont="1" applyBorder="1" applyAlignment="1">
      <alignment horizontal="right" wrapText="1" indent="1"/>
    </xf>
    <xf numFmtId="0" fontId="49" fillId="0" borderId="14" xfId="0" applyFont="1" applyBorder="1" applyAlignment="1">
      <alignment horizontal="left" indent="1"/>
    </xf>
    <xf numFmtId="182" fontId="49" fillId="0" borderId="0" xfId="55" applyNumberFormat="1" applyFont="1" applyBorder="1"/>
    <xf numFmtId="2" fontId="49" fillId="0" borderId="0" xfId="0" applyNumberFormat="1" applyFont="1" applyBorder="1"/>
    <xf numFmtId="3" fontId="49" fillId="0" borderId="0" xfId="0" applyNumberFormat="1" applyFont="1" applyBorder="1" applyAlignment="1">
      <alignment horizontal="right"/>
    </xf>
    <xf numFmtId="3" fontId="49" fillId="0" borderId="0" xfId="0" applyNumberFormat="1" applyFont="1"/>
    <xf numFmtId="186" fontId="49" fillId="0" borderId="0" xfId="0" applyNumberFormat="1" applyFont="1" applyBorder="1" applyAlignment="1">
      <alignment horizontal="right"/>
    </xf>
    <xf numFmtId="185" fontId="49" fillId="0" borderId="0" xfId="59" applyNumberFormat="1" applyFont="1" applyBorder="1" applyAlignment="1">
      <alignment horizontal="right"/>
    </xf>
    <xf numFmtId="187" fontId="49" fillId="0" borderId="0" xfId="0" applyNumberFormat="1" applyFont="1"/>
    <xf numFmtId="165" fontId="49" fillId="0" borderId="38" xfId="54" applyNumberFormat="1" applyFont="1" applyBorder="1"/>
    <xf numFmtId="185" fontId="49" fillId="0" borderId="0" xfId="59" applyNumberFormat="1" applyFont="1"/>
    <xf numFmtId="0" fontId="49" fillId="0" borderId="22" xfId="0" applyFont="1" applyBorder="1" applyAlignment="1">
      <alignment horizontal="left" indent="1"/>
    </xf>
    <xf numFmtId="187" fontId="49" fillId="0" borderId="23" xfId="0" applyNumberFormat="1" applyFont="1" applyBorder="1" applyAlignment="1">
      <alignment horizontal="right"/>
    </xf>
    <xf numFmtId="10" fontId="49" fillId="0" borderId="39" xfId="59" applyNumberFormat="1" applyFont="1" applyBorder="1" applyAlignment="1">
      <alignment horizontal="right" wrapText="1" indent="1"/>
    </xf>
    <xf numFmtId="0" fontId="48" fillId="0" borderId="30" xfId="0" applyFont="1" applyFill="1" applyBorder="1"/>
    <xf numFmtId="182" fontId="48" fillId="0" borderId="40" xfId="0" applyNumberFormat="1" applyFont="1" applyBorder="1"/>
    <xf numFmtId="185" fontId="48" fillId="0" borderId="41" xfId="59" applyNumberFormat="1" applyFont="1" applyBorder="1" applyAlignment="1">
      <alignment horizontal="right" wrapText="1" indent="1"/>
    </xf>
    <xf numFmtId="0" fontId="49" fillId="0" borderId="34" xfId="0" applyFont="1" applyBorder="1" applyAlignment="1">
      <alignment horizontal="right" indent="1"/>
    </xf>
    <xf numFmtId="10" fontId="49" fillId="0" borderId="34" xfId="59" applyNumberFormat="1" applyFont="1" applyBorder="1" applyAlignment="1">
      <alignment horizontal="right" wrapText="1" indent="1"/>
    </xf>
    <xf numFmtId="0" fontId="48" fillId="0" borderId="22" xfId="0" applyFont="1" applyBorder="1" applyAlignment="1">
      <alignment horizontal="justify"/>
    </xf>
    <xf numFmtId="187" fontId="49" fillId="0" borderId="39" xfId="0" applyNumberFormat="1" applyFont="1" applyBorder="1" applyAlignment="1">
      <alignment horizontal="right"/>
    </xf>
    <xf numFmtId="9" fontId="49" fillId="0" borderId="0" xfId="0" applyNumberFormat="1" applyFont="1" applyBorder="1" applyAlignment="1">
      <alignment horizontal="right"/>
    </xf>
    <xf numFmtId="185" fontId="49" fillId="0" borderId="0" xfId="0" applyNumberFormat="1" applyFont="1" applyBorder="1" applyAlignment="1">
      <alignment horizontal="right"/>
    </xf>
    <xf numFmtId="0" fontId="49" fillId="0" borderId="0" xfId="0" applyFont="1" applyBorder="1" applyAlignment="1">
      <alignment horizontal="right" indent="1"/>
    </xf>
    <xf numFmtId="17" fontId="48" fillId="0" borderId="22" xfId="0" applyNumberFormat="1" applyFont="1" applyBorder="1" applyAlignment="1">
      <alignment horizontal="left" wrapText="1"/>
    </xf>
    <xf numFmtId="3" fontId="48" fillId="0" borderId="23" xfId="0" applyNumberFormat="1" applyFont="1" applyBorder="1" applyAlignment="1">
      <alignment horizontal="right"/>
    </xf>
    <xf numFmtId="185" fontId="48" fillId="0" borderId="23" xfId="59" applyNumberFormat="1" applyFont="1" applyBorder="1" applyAlignment="1">
      <alignment horizontal="right"/>
    </xf>
    <xf numFmtId="185" fontId="48" fillId="0" borderId="39" xfId="59" applyNumberFormat="1" applyFont="1" applyBorder="1" applyAlignment="1">
      <alignment horizontal="right"/>
    </xf>
    <xf numFmtId="3" fontId="48" fillId="0" borderId="42" xfId="0" applyNumberFormat="1" applyFont="1" applyBorder="1" applyAlignment="1">
      <alignment horizontal="right" vertical="center"/>
    </xf>
    <xf numFmtId="185" fontId="48" fillId="0" borderId="43" xfId="59" applyNumberFormat="1" applyFont="1" applyBorder="1" applyAlignment="1">
      <alignment horizontal="right" vertical="center" wrapText="1" indent="1"/>
    </xf>
    <xf numFmtId="185" fontId="48" fillId="0" borderId="34" xfId="59" applyNumberFormat="1" applyFont="1" applyBorder="1" applyAlignment="1">
      <alignment horizontal="right" wrapText="1" indent="1"/>
    </xf>
    <xf numFmtId="182" fontId="48" fillId="0" borderId="44" xfId="0" applyNumberFormat="1" applyFont="1" applyBorder="1"/>
    <xf numFmtId="185" fontId="48" fillId="0" borderId="45" xfId="59" applyNumberFormat="1" applyFont="1" applyBorder="1" applyAlignment="1">
      <alignment horizontal="right" wrapText="1" indent="1"/>
    </xf>
    <xf numFmtId="0" fontId="49" fillId="0" borderId="23" xfId="0" applyFont="1" applyBorder="1" applyAlignment="1">
      <alignment horizontal="center"/>
    </xf>
    <xf numFmtId="0" fontId="49" fillId="0" borderId="23" xfId="0" applyFont="1" applyBorder="1"/>
    <xf numFmtId="0" fontId="49" fillId="0" borderId="39" xfId="0" applyFont="1" applyBorder="1" applyAlignment="1">
      <alignment horizontal="right" indent="1"/>
    </xf>
    <xf numFmtId="0" fontId="49" fillId="0" borderId="0" xfId="0" applyFont="1" applyAlignment="1">
      <alignment horizontal="justify"/>
    </xf>
    <xf numFmtId="185" fontId="48" fillId="0" borderId="39" xfId="59" applyNumberFormat="1" applyFont="1" applyBorder="1" applyAlignment="1">
      <alignment horizontal="right" wrapText="1" indent="1"/>
    </xf>
    <xf numFmtId="0" fontId="54" fillId="0" borderId="0" xfId="0" applyFont="1" applyAlignment="1">
      <alignment horizontal="justify"/>
    </xf>
    <xf numFmtId="3" fontId="49" fillId="0" borderId="0" xfId="0" applyNumberFormat="1" applyFont="1" applyAlignment="1">
      <alignment horizontal="justify"/>
    </xf>
    <xf numFmtId="185" fontId="4" fillId="0" borderId="20" xfId="59" applyNumberFormat="1" applyFont="1" applyBorder="1"/>
    <xf numFmtId="0" fontId="48" fillId="0" borderId="30" xfId="0" applyFont="1" applyBorder="1" applyAlignment="1">
      <alignment vertical="center"/>
    </xf>
    <xf numFmtId="165" fontId="48" fillId="0" borderId="46" xfId="54" applyNumberFormat="1" applyFont="1" applyBorder="1" applyAlignment="1">
      <alignment vertical="center"/>
    </xf>
    <xf numFmtId="165" fontId="48" fillId="0" borderId="8" xfId="54" applyNumberFormat="1" applyFont="1" applyBorder="1" applyAlignment="1">
      <alignment vertical="center"/>
    </xf>
    <xf numFmtId="187" fontId="48" fillId="0" borderId="46" xfId="0" applyNumberFormat="1" applyFont="1" applyBorder="1" applyAlignment="1">
      <alignment horizontal="right" vertical="center"/>
    </xf>
    <xf numFmtId="185" fontId="48" fillId="0" borderId="47" xfId="59" applyNumberFormat="1" applyFont="1" applyBorder="1" applyAlignment="1">
      <alignment vertical="center"/>
    </xf>
    <xf numFmtId="165" fontId="49" fillId="0" borderId="26" xfId="54" applyNumberFormat="1" applyFont="1" applyBorder="1" applyAlignment="1">
      <alignment vertical="center"/>
    </xf>
    <xf numFmtId="165" fontId="49" fillId="0" borderId="48" xfId="54" applyNumberFormat="1" applyFont="1" applyBorder="1" applyAlignment="1">
      <alignment vertical="center"/>
    </xf>
    <xf numFmtId="187" fontId="49" fillId="0" borderId="26" xfId="0" applyNumberFormat="1" applyFont="1" applyBorder="1" applyAlignment="1">
      <alignment horizontal="right" vertical="center"/>
    </xf>
    <xf numFmtId="185" fontId="49" fillId="0" borderId="37" xfId="59" applyNumberFormat="1" applyFont="1" applyBorder="1" applyAlignment="1">
      <alignment vertical="center"/>
    </xf>
    <xf numFmtId="165" fontId="49" fillId="0" borderId="49" xfId="54" applyNumberFormat="1" applyFont="1" applyBorder="1" applyAlignment="1">
      <alignment vertical="center"/>
    </xf>
    <xf numFmtId="165" fontId="49" fillId="0" borderId="50" xfId="54" applyNumberFormat="1" applyFont="1" applyBorder="1" applyAlignment="1">
      <alignment vertical="center"/>
    </xf>
    <xf numFmtId="187" fontId="49" fillId="0" borderId="49" xfId="0" applyNumberFormat="1" applyFont="1" applyBorder="1" applyAlignment="1">
      <alignment horizontal="right" vertical="center"/>
    </xf>
    <xf numFmtId="185" fontId="49" fillId="0" borderId="38" xfId="59" applyNumberFormat="1" applyFont="1" applyBorder="1" applyAlignment="1">
      <alignment vertical="center"/>
    </xf>
    <xf numFmtId="179" fontId="38" fillId="0" borderId="0" xfId="0" applyNumberFormat="1" applyFont="1"/>
    <xf numFmtId="3" fontId="48" fillId="0" borderId="0" xfId="0" applyNumberFormat="1" applyFont="1" applyBorder="1" applyAlignment="1">
      <alignment horizontal="right"/>
    </xf>
    <xf numFmtId="0" fontId="48" fillId="51" borderId="19" xfId="0" applyFont="1" applyFill="1" applyBorder="1" applyAlignment="1">
      <alignment horizontal="center" vertical="center" wrapText="1"/>
    </xf>
    <xf numFmtId="49" fontId="48" fillId="51" borderId="26" xfId="0" applyNumberFormat="1" applyFont="1" applyFill="1" applyBorder="1" applyAlignment="1">
      <alignment horizontal="center" vertical="top" wrapText="1"/>
    </xf>
    <xf numFmtId="185" fontId="45" fillId="0" borderId="0" xfId="59" applyNumberFormat="1" applyFont="1" applyFill="1" applyBorder="1"/>
    <xf numFmtId="0" fontId="48" fillId="0" borderId="14" xfId="0" applyFont="1" applyBorder="1" applyAlignment="1">
      <alignment horizontal="left" vertical="top" wrapText="1"/>
    </xf>
    <xf numFmtId="17" fontId="48" fillId="51" borderId="51" xfId="0" quotePrefix="1" applyNumberFormat="1" applyFont="1" applyFill="1" applyBorder="1" applyAlignment="1">
      <alignment horizontal="left" vertical="center" wrapText="1"/>
    </xf>
    <xf numFmtId="17" fontId="48" fillId="51" borderId="52" xfId="0" quotePrefix="1" applyNumberFormat="1" applyFont="1" applyFill="1" applyBorder="1" applyAlignment="1">
      <alignment horizontal="center" vertical="center" wrapText="1"/>
    </xf>
    <xf numFmtId="3" fontId="0" fillId="0" borderId="0" xfId="0" applyNumberFormat="1"/>
    <xf numFmtId="3" fontId="0" fillId="0" borderId="15" xfId="0" applyNumberFormat="1" applyBorder="1"/>
    <xf numFmtId="0" fontId="0" fillId="0" borderId="0" xfId="0" applyAlignment="1">
      <alignment horizontal="center"/>
    </xf>
    <xf numFmtId="0" fontId="49" fillId="0" borderId="0" xfId="0" applyFont="1" applyFill="1"/>
    <xf numFmtId="1" fontId="49" fillId="0" borderId="0" xfId="0" applyNumberFormat="1" applyFont="1" applyFill="1"/>
    <xf numFmtId="187" fontId="49" fillId="0" borderId="0" xfId="0" applyNumberFormat="1" applyFont="1" applyFill="1"/>
    <xf numFmtId="0" fontId="49" fillId="0" borderId="0" xfId="0" applyFont="1" applyFill="1" applyAlignment="1">
      <alignment horizontal="justify"/>
    </xf>
    <xf numFmtId="0" fontId="10" fillId="0" borderId="0" xfId="0" applyFont="1" applyFill="1"/>
    <xf numFmtId="3" fontId="49" fillId="0" borderId="0" xfId="0" applyNumberFormat="1" applyFont="1" applyFill="1" applyAlignment="1">
      <alignment horizontal="justify"/>
    </xf>
    <xf numFmtId="0" fontId="49" fillId="0" borderId="0" xfId="0" applyFont="1" applyAlignment="1">
      <alignment horizontal="right"/>
    </xf>
    <xf numFmtId="0" fontId="49" fillId="0" borderId="0" xfId="0" applyFont="1" applyFill="1" applyAlignment="1">
      <alignment horizontal="right"/>
    </xf>
    <xf numFmtId="0" fontId="48" fillId="0" borderId="0" xfId="0" applyFont="1" applyAlignment="1">
      <alignment horizontal="right"/>
    </xf>
    <xf numFmtId="0" fontId="48" fillId="0" borderId="0" xfId="0" applyFont="1" applyAlignment="1">
      <alignment horizontal="center"/>
    </xf>
    <xf numFmtId="0" fontId="39" fillId="0" borderId="0" xfId="0" applyFont="1" applyFill="1"/>
    <xf numFmtId="3" fontId="49" fillId="0" borderId="0" xfId="0" applyNumberFormat="1" applyFont="1" applyFill="1" applyBorder="1"/>
    <xf numFmtId="3" fontId="48" fillId="0" borderId="0" xfId="0" applyNumberFormat="1" applyFont="1" applyBorder="1"/>
    <xf numFmtId="0" fontId="60" fillId="0" borderId="0" xfId="0" applyFont="1"/>
    <xf numFmtId="3" fontId="60" fillId="0" borderId="0" xfId="0" applyNumberFormat="1" applyFont="1"/>
    <xf numFmtId="3" fontId="60" fillId="0" borderId="15" xfId="0" applyNumberFormat="1" applyFont="1" applyBorder="1"/>
    <xf numFmtId="188" fontId="10" fillId="0" borderId="0" xfId="0" applyNumberFormat="1" applyFont="1" applyAlignment="1">
      <alignment horizontal="left"/>
    </xf>
    <xf numFmtId="178" fontId="38" fillId="0" borderId="0" xfId="0" applyNumberFormat="1" applyFont="1"/>
    <xf numFmtId="0" fontId="56" fillId="48" borderId="53" xfId="0" applyFont="1" applyFill="1" applyBorder="1" applyAlignment="1">
      <alignment horizontal="center" vertical="center" wrapText="1"/>
    </xf>
    <xf numFmtId="178" fontId="56" fillId="48" borderId="53" xfId="0" applyNumberFormat="1" applyFont="1" applyFill="1" applyBorder="1" applyAlignment="1">
      <alignment horizontal="center" vertical="center" wrapText="1"/>
    </xf>
    <xf numFmtId="0" fontId="61" fillId="49" borderId="8" xfId="0" applyFont="1" applyFill="1" applyBorder="1" applyAlignment="1">
      <alignment horizontal="center"/>
    </xf>
    <xf numFmtId="14" fontId="61" fillId="49" borderId="8" xfId="0" applyNumberFormat="1" applyFont="1" applyFill="1" applyBorder="1" applyAlignment="1">
      <alignment horizontal="center"/>
    </xf>
    <xf numFmtId="178" fontId="61" fillId="49" borderId="8" xfId="0" applyNumberFormat="1" applyFont="1" applyFill="1" applyBorder="1" applyAlignment="1">
      <alignment horizontal="center"/>
    </xf>
    <xf numFmtId="3" fontId="61" fillId="49" borderId="8" xfId="0" applyNumberFormat="1" applyFont="1" applyFill="1" applyBorder="1"/>
    <xf numFmtId="0" fontId="57" fillId="49" borderId="8" xfId="0" applyFont="1" applyFill="1" applyBorder="1" applyAlignment="1">
      <alignment horizontal="center"/>
    </xf>
    <xf numFmtId="14" fontId="57" fillId="49" borderId="8" xfId="0" applyNumberFormat="1" applyFont="1" applyFill="1" applyBorder="1" applyAlignment="1">
      <alignment horizontal="center"/>
    </xf>
    <xf numFmtId="178" fontId="57" fillId="49" borderId="8" xfId="0" applyNumberFormat="1" applyFont="1" applyFill="1" applyBorder="1" applyAlignment="1">
      <alignment horizontal="center"/>
    </xf>
    <xf numFmtId="3" fontId="57" fillId="49" borderId="8" xfId="0" applyNumberFormat="1" applyFont="1" applyFill="1" applyBorder="1"/>
    <xf numFmtId="0" fontId="62" fillId="52" borderId="0" xfId="0" applyFont="1" applyFill="1" applyAlignment="1">
      <alignment horizontal="center" wrapText="1"/>
    </xf>
    <xf numFmtId="0" fontId="38" fillId="0" borderId="0" xfId="0" applyFont="1"/>
    <xf numFmtId="187" fontId="4" fillId="0" borderId="0" xfId="0" applyNumberFormat="1" applyFont="1"/>
    <xf numFmtId="187" fontId="4" fillId="0" borderId="0" xfId="0" applyNumberFormat="1" applyFont="1" applyFill="1"/>
    <xf numFmtId="14" fontId="62" fillId="52" borderId="0" xfId="0" applyNumberFormat="1" applyFont="1" applyFill="1" applyAlignment="1">
      <alignment wrapText="1"/>
    </xf>
    <xf numFmtId="3" fontId="4" fillId="0" borderId="0" xfId="0" applyNumberFormat="1" applyFont="1"/>
    <xf numFmtId="17" fontId="48" fillId="51" borderId="54" xfId="0" applyNumberFormat="1" applyFont="1" applyFill="1" applyBorder="1" applyAlignment="1">
      <alignment horizontal="center" vertical="center" wrapText="1"/>
    </xf>
    <xf numFmtId="17" fontId="48" fillId="51" borderId="46" xfId="0" applyNumberFormat="1" applyFont="1" applyFill="1" applyBorder="1" applyAlignment="1">
      <alignment horizontal="center" vertical="center" wrapText="1"/>
    </xf>
    <xf numFmtId="17" fontId="48" fillId="51" borderId="47" xfId="0" applyNumberFormat="1" applyFont="1" applyFill="1" applyBorder="1" applyAlignment="1">
      <alignment horizontal="center" vertical="center" wrapText="1"/>
    </xf>
    <xf numFmtId="0" fontId="49" fillId="0" borderId="14" xfId="0" applyFont="1" applyBorder="1" applyAlignment="1">
      <alignment horizontal="left"/>
    </xf>
    <xf numFmtId="185" fontId="4" fillId="0" borderId="0" xfId="59" applyNumberFormat="1" applyFont="1" applyFill="1"/>
    <xf numFmtId="182" fontId="4" fillId="0" borderId="0" xfId="0" applyNumberFormat="1" applyFont="1"/>
    <xf numFmtId="182" fontId="0" fillId="0" borderId="0" xfId="0" applyNumberFormat="1"/>
    <xf numFmtId="189" fontId="4" fillId="0" borderId="15" xfId="0" applyNumberFormat="1" applyFont="1" applyBorder="1"/>
    <xf numFmtId="49" fontId="4" fillId="0" borderId="0" xfId="0" applyNumberFormat="1" applyFont="1" applyFill="1"/>
    <xf numFmtId="0" fontId="48" fillId="51" borderId="43" xfId="0" applyFont="1" applyFill="1" applyBorder="1" applyAlignment="1">
      <alignment horizontal="center" vertical="center" wrapText="1"/>
    </xf>
    <xf numFmtId="0" fontId="48" fillId="51" borderId="42" xfId="0" quotePrefix="1" applyFont="1" applyFill="1" applyBorder="1" applyAlignment="1">
      <alignment horizontal="center" vertical="center" wrapText="1"/>
    </xf>
    <xf numFmtId="0" fontId="48" fillId="51" borderId="43" xfId="0" applyFont="1" applyFill="1" applyBorder="1" applyAlignment="1">
      <alignment horizontal="center" vertical="center" wrapText="1"/>
    </xf>
    <xf numFmtId="0" fontId="49" fillId="53" borderId="0" xfId="0" applyFont="1" applyFill="1"/>
    <xf numFmtId="182" fontId="49" fillId="53" borderId="0" xfId="0" applyNumberFormat="1" applyFont="1" applyFill="1"/>
    <xf numFmtId="185" fontId="49" fillId="53" borderId="0" xfId="0" applyNumberFormat="1" applyFont="1" applyFill="1"/>
    <xf numFmtId="182" fontId="48" fillId="53" borderId="0" xfId="0" applyNumberFormat="1" applyFont="1" applyFill="1"/>
    <xf numFmtId="0" fontId="49" fillId="53" borderId="0" xfId="0" applyFont="1" applyFill="1" applyBorder="1"/>
    <xf numFmtId="1" fontId="49" fillId="0" borderId="0" xfId="0" applyNumberFormat="1" applyFont="1" applyFill="1" applyBorder="1"/>
    <xf numFmtId="0" fontId="49" fillId="0" borderId="0" xfId="0" applyFont="1" applyFill="1" applyBorder="1"/>
    <xf numFmtId="185" fontId="49" fillId="0" borderId="0" xfId="59" applyNumberFormat="1" applyFont="1" applyBorder="1" applyAlignment="1">
      <alignment horizontal="right" wrapText="1" indent="1"/>
    </xf>
    <xf numFmtId="187" fontId="48" fillId="0" borderId="0" xfId="0" applyNumberFormat="1" applyFont="1" applyBorder="1"/>
    <xf numFmtId="185" fontId="48" fillId="0" borderId="0" xfId="59" applyNumberFormat="1" applyFont="1" applyBorder="1" applyAlignment="1">
      <alignment horizontal="right" wrapText="1" indent="1"/>
    </xf>
    <xf numFmtId="0" fontId="48" fillId="47" borderId="51" xfId="0" applyFont="1" applyFill="1" applyBorder="1" applyAlignment="1">
      <alignment wrapText="1"/>
    </xf>
    <xf numFmtId="0" fontId="48" fillId="47" borderId="32" xfId="0" applyFont="1" applyFill="1" applyBorder="1" applyAlignment="1">
      <alignment horizontal="left" wrapText="1" indent="2"/>
    </xf>
    <xf numFmtId="0" fontId="49" fillId="0" borderId="14" xfId="0" applyFont="1" applyBorder="1" applyAlignment="1">
      <alignment horizontal="left" indent="2"/>
    </xf>
    <xf numFmtId="0" fontId="49" fillId="0" borderId="14" xfId="0" applyFont="1" applyBorder="1" applyAlignment="1">
      <alignment horizontal="left" wrapText="1" indent="2"/>
    </xf>
    <xf numFmtId="17" fontId="48" fillId="47" borderId="58" xfId="0" applyNumberFormat="1" applyFont="1" applyFill="1" applyBorder="1" applyAlignment="1">
      <alignment horizontal="center" wrapText="1"/>
    </xf>
    <xf numFmtId="0" fontId="48" fillId="47" borderId="18" xfId="0" applyFont="1" applyFill="1" applyBorder="1" applyAlignment="1">
      <alignment horizontal="left" vertical="center" wrapText="1" indent="2"/>
    </xf>
    <xf numFmtId="17" fontId="48" fillId="0" borderId="18" xfId="0" quotePrefix="1" applyNumberFormat="1" applyFont="1" applyBorder="1" applyAlignment="1">
      <alignment horizontal="left" wrapText="1"/>
    </xf>
    <xf numFmtId="0" fontId="48" fillId="51" borderId="59" xfId="0" applyFont="1" applyFill="1" applyBorder="1" applyAlignment="1">
      <alignment horizontal="left" vertical="center" wrapText="1"/>
    </xf>
    <xf numFmtId="0" fontId="49" fillId="51" borderId="14" xfId="0" applyFont="1" applyFill="1" applyBorder="1" applyAlignment="1">
      <alignment horizontal="left" vertical="center" wrapText="1"/>
    </xf>
    <xf numFmtId="165" fontId="49" fillId="0" borderId="60" xfId="54" applyNumberFormat="1" applyFont="1" applyBorder="1"/>
    <xf numFmtId="165" fontId="49" fillId="0" borderId="61" xfId="54" applyNumberFormat="1" applyFont="1" applyBorder="1"/>
    <xf numFmtId="0" fontId="48" fillId="47" borderId="32" xfId="0" applyFont="1" applyFill="1" applyBorder="1" applyAlignment="1">
      <alignment horizontal="left" vertical="center" wrapText="1" indent="2"/>
    </xf>
    <xf numFmtId="0" fontId="48" fillId="47" borderId="32" xfId="0" applyFont="1" applyFill="1" applyBorder="1" applyAlignment="1">
      <alignment horizontal="left" vertical="center" wrapText="1" indent="1"/>
    </xf>
    <xf numFmtId="0" fontId="55" fillId="46" borderId="22" xfId="0" applyFont="1" applyFill="1" applyBorder="1" applyAlignment="1">
      <alignment horizontal="center"/>
    </xf>
    <xf numFmtId="0" fontId="55" fillId="46" borderId="23" xfId="0" applyFont="1" applyFill="1" applyBorder="1" applyAlignment="1">
      <alignment horizontal="center"/>
    </xf>
    <xf numFmtId="0" fontId="57" fillId="50" borderId="46" xfId="0" applyFont="1" applyFill="1" applyBorder="1" applyAlignment="1">
      <alignment horizontal="center"/>
    </xf>
    <xf numFmtId="0" fontId="57" fillId="50" borderId="40" xfId="0" applyFont="1" applyFill="1" applyBorder="1" applyAlignment="1">
      <alignment horizontal="center"/>
    </xf>
    <xf numFmtId="0" fontId="57" fillId="50" borderId="55" xfId="0" applyFont="1" applyFill="1" applyBorder="1" applyAlignment="1">
      <alignment horizontal="center"/>
    </xf>
    <xf numFmtId="0" fontId="61" fillId="50" borderId="46" xfId="0" applyFont="1" applyFill="1" applyBorder="1" applyAlignment="1">
      <alignment horizontal="center"/>
    </xf>
    <xf numFmtId="0" fontId="61" fillId="50" borderId="40" xfId="0" applyFont="1" applyFill="1" applyBorder="1" applyAlignment="1">
      <alignment horizontal="center"/>
    </xf>
    <xf numFmtId="0" fontId="61" fillId="50" borderId="55" xfId="0" applyFont="1" applyFill="1" applyBorder="1" applyAlignment="1">
      <alignment horizontal="center"/>
    </xf>
    <xf numFmtId="3" fontId="58" fillId="50" borderId="46" xfId="0" applyNumberFormat="1" applyFont="1" applyFill="1" applyBorder="1" applyAlignment="1">
      <alignment horizontal="right"/>
    </xf>
    <xf numFmtId="0" fontId="58" fillId="50" borderId="40" xfId="0" applyFont="1" applyFill="1" applyBorder="1" applyAlignment="1">
      <alignment horizontal="right"/>
    </xf>
    <xf numFmtId="0" fontId="58" fillId="50" borderId="55" xfId="0" applyFont="1" applyFill="1" applyBorder="1" applyAlignment="1">
      <alignment horizontal="right"/>
    </xf>
    <xf numFmtId="17" fontId="48" fillId="51" borderId="57" xfId="0" applyNumberFormat="1" applyFont="1" applyFill="1" applyBorder="1" applyAlignment="1">
      <alignment horizontal="center" vertical="center" wrapText="1"/>
    </xf>
    <xf numFmtId="17" fontId="48" fillId="51" borderId="36" xfId="0" quotePrefix="1" applyNumberFormat="1" applyFont="1" applyFill="1" applyBorder="1" applyAlignment="1">
      <alignment horizontal="center" vertical="center" wrapText="1"/>
    </xf>
    <xf numFmtId="0" fontId="49" fillId="0" borderId="35" xfId="0" applyFont="1" applyBorder="1" applyAlignment="1">
      <alignment horizontal="center" vertical="center"/>
    </xf>
    <xf numFmtId="0" fontId="49" fillId="0" borderId="0" xfId="0" applyFont="1" applyBorder="1" applyAlignment="1">
      <alignment horizontal="center" vertical="center"/>
    </xf>
    <xf numFmtId="0" fontId="49" fillId="0" borderId="36" xfId="0" applyFont="1" applyBorder="1" applyAlignment="1">
      <alignment horizontal="center" vertical="center"/>
    </xf>
    <xf numFmtId="0" fontId="49" fillId="0" borderId="34" xfId="0" applyFont="1" applyBorder="1" applyAlignment="1">
      <alignment horizontal="center" vertical="center"/>
    </xf>
    <xf numFmtId="0" fontId="48" fillId="51" borderId="56" xfId="0" applyFont="1" applyFill="1" applyBorder="1" applyAlignment="1">
      <alignment horizontal="center" vertical="center" wrapText="1"/>
    </xf>
    <xf numFmtId="0" fontId="48" fillId="51" borderId="43" xfId="0" applyFont="1" applyFill="1" applyBorder="1" applyAlignment="1">
      <alignment horizontal="center" vertical="center" wrapText="1"/>
    </xf>
    <xf numFmtId="0" fontId="48" fillId="51" borderId="42" xfId="0" quotePrefix="1" applyFont="1" applyFill="1" applyBorder="1" applyAlignment="1">
      <alignment horizontal="center" vertical="center" wrapText="1"/>
    </xf>
    <xf numFmtId="0" fontId="48" fillId="51" borderId="42" xfId="0" applyFont="1" applyFill="1" applyBorder="1" applyAlignment="1">
      <alignment horizontal="center" vertical="center" wrapText="1"/>
    </xf>
  </cellXfs>
  <cellStyles count="108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akcent 1" xfId="13"/>
    <cellStyle name="60% - Énfasis1" xfId="14" builtinId="32" customBuiltin="1"/>
    <cellStyle name="60% - Énfasis2" xfId="15" builtinId="36" customBuiltin="1"/>
    <cellStyle name="60% - Énfasis3" xfId="16" builtinId="40" customBuiltin="1"/>
    <cellStyle name="60% - Énfasis4" xfId="17" builtinId="44" customBuiltin="1"/>
    <cellStyle name="60% - Énfasis5" xfId="18" builtinId="48" customBuiltin="1"/>
    <cellStyle name="60% - Énfasis6" xfId="19" builtinId="52" customBuiltin="1"/>
    <cellStyle name="Accent1 - 20%" xfId="20"/>
    <cellStyle name="Accent1 - 40%" xfId="21"/>
    <cellStyle name="Accent1 - 60%" xfId="22"/>
    <cellStyle name="Accent2 - 20%" xfId="23"/>
    <cellStyle name="Accent2 - 40%" xfId="24"/>
    <cellStyle name="Accent2 - 60%" xfId="25"/>
    <cellStyle name="Accent3 - 20%" xfId="26"/>
    <cellStyle name="Accent3 - 40%" xfId="27"/>
    <cellStyle name="Accent3 - 60%" xfId="28"/>
    <cellStyle name="Accent4 - 20%" xfId="29"/>
    <cellStyle name="Accent4 - 40%" xfId="30"/>
    <cellStyle name="Accent4 - 60%" xfId="31"/>
    <cellStyle name="Accent5 - 20%" xfId="32"/>
    <cellStyle name="Accent5 - 40%" xfId="33"/>
    <cellStyle name="Accent5 - 60%" xfId="34"/>
    <cellStyle name="Accent6 - 20%" xfId="35"/>
    <cellStyle name="Accent6 - 40%" xfId="36"/>
    <cellStyle name="Accent6 - 60%" xfId="37"/>
    <cellStyle name="Buena" xfId="38" builtinId="26" customBuiltin="1"/>
    <cellStyle name="Cálculo" xfId="39" builtinId="22" customBuiltin="1"/>
    <cellStyle name="Celda de comprobación" xfId="40" builtinId="23" customBuiltin="1"/>
    <cellStyle name="Celda vinculada" xfId="41" builtinId="24" customBuiltin="1"/>
    <cellStyle name="Emphasis 1" xfId="42"/>
    <cellStyle name="Emphasis 2" xfId="43"/>
    <cellStyle name="Emphasis 3" xfId="44"/>
    <cellStyle name="Encabezado 4" xfId="45" builtinId="19" customBuiltin="1"/>
    <cellStyle name="Énfasis1" xfId="46" builtinId="29" customBuiltin="1"/>
    <cellStyle name="Énfasis2" xfId="47" builtinId="33" customBuiltin="1"/>
    <cellStyle name="Énfasis3" xfId="48" builtinId="37" customBuiltin="1"/>
    <cellStyle name="Énfasis4" xfId="49" builtinId="41" customBuiltin="1"/>
    <cellStyle name="Énfasis5" xfId="50" builtinId="45" customBuiltin="1"/>
    <cellStyle name="Énfasis6" xfId="51" builtinId="49" customBuiltin="1"/>
    <cellStyle name="Entrada" xfId="52" builtinId="20" customBuiltin="1"/>
    <cellStyle name="Incorrecto" xfId="53" builtinId="27" customBuiltin="1"/>
    <cellStyle name="Millares" xfId="54" builtinId="3"/>
    <cellStyle name="Millares_Analisis Razonado diciemb 08" xfId="55"/>
    <cellStyle name="Neutral" xfId="56" builtinId="28" customBuiltin="1"/>
    <cellStyle name="Normal" xfId="0" builtinId="0"/>
    <cellStyle name="Normal 2" xfId="57"/>
    <cellStyle name="Notas" xfId="58" builtinId="10" customBuiltin="1"/>
    <cellStyle name="Porcentaje" xfId="59" builtinId="5"/>
    <cellStyle name="Salida" xfId="60" builtinId="21" customBuiltin="1"/>
    <cellStyle name="SAPBEXaggData" xfId="61"/>
    <cellStyle name="SAPBEXaggDataEmph" xfId="62"/>
    <cellStyle name="SAPBEXaggItem" xfId="63"/>
    <cellStyle name="SAPBEXaggItemX" xfId="64"/>
    <cellStyle name="SAPBEXchaText" xfId="65"/>
    <cellStyle name="SAPBEXexcBad7" xfId="66"/>
    <cellStyle name="SAPBEXexcBad8" xfId="67"/>
    <cellStyle name="SAPBEXexcBad9" xfId="68"/>
    <cellStyle name="SAPBEXexcCritical4" xfId="69"/>
    <cellStyle name="SAPBEXexcCritical5" xfId="70"/>
    <cellStyle name="SAPBEXexcCritical6" xfId="71"/>
    <cellStyle name="SAPBEXexcGood1" xfId="72"/>
    <cellStyle name="SAPBEXexcGood2" xfId="73"/>
    <cellStyle name="SAPBEXexcGood3" xfId="74"/>
    <cellStyle name="SAPBEXfilterDrill" xfId="75"/>
    <cellStyle name="SAPBEXfilterItem" xfId="76"/>
    <cellStyle name="SAPBEXfilterText" xfId="77"/>
    <cellStyle name="SAPBEXformats" xfId="78"/>
    <cellStyle name="SAPBEXheaderItem" xfId="79"/>
    <cellStyle name="SAPBEXheaderText" xfId="80"/>
    <cellStyle name="SAPBEXHLevel0" xfId="81"/>
    <cellStyle name="SAPBEXHLevel0X" xfId="82"/>
    <cellStyle name="SAPBEXHLevel1" xfId="83"/>
    <cellStyle name="SAPBEXHLevel1X" xfId="84"/>
    <cellStyle name="SAPBEXHLevel2" xfId="85"/>
    <cellStyle name="SAPBEXHLevel2X" xfId="86"/>
    <cellStyle name="SAPBEXHLevel3" xfId="87"/>
    <cellStyle name="SAPBEXHLevel3X" xfId="88"/>
    <cellStyle name="SAPBEXinputData" xfId="89"/>
    <cellStyle name="SAPBEXItemHeader" xfId="90"/>
    <cellStyle name="SAPBEXresData" xfId="91"/>
    <cellStyle name="SAPBEXresDataEmph" xfId="92"/>
    <cellStyle name="SAPBEXresItem" xfId="93"/>
    <cellStyle name="SAPBEXresItemX" xfId="94"/>
    <cellStyle name="SAPBEXstdData" xfId="95"/>
    <cellStyle name="SAPBEXstdDataEmph" xfId="96"/>
    <cellStyle name="SAPBEXstdItem" xfId="97"/>
    <cellStyle name="SAPBEXstdItemX" xfId="98"/>
    <cellStyle name="SAPBEXtitle" xfId="99"/>
    <cellStyle name="SAPBEXundefined" xfId="100"/>
    <cellStyle name="Sheet Title" xfId="101"/>
    <cellStyle name="Texto de advertencia" xfId="102" builtinId="11" customBuiltin="1"/>
    <cellStyle name="Texto explicativo" xfId="103" builtinId="53" customBuiltin="1"/>
    <cellStyle name="Título" xfId="104" builtinId="15" customBuiltin="1"/>
    <cellStyle name="Título 2" xfId="105" builtinId="17" customBuiltin="1"/>
    <cellStyle name="Título 3" xfId="106" builtinId="18" customBuiltin="1"/>
    <cellStyle name="Total" xfId="107" builtinId="25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3333"/>
      <rgbColor rgb="0099FF99"/>
      <rgbColor rgb="000000FF"/>
      <rgbColor rgb="00FFFF00"/>
      <rgbColor rgb="00FF00FF"/>
      <rgbColor rgb="00CDDEE9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87C7C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D4E2EE"/>
      <rgbColor rgb="00EFF6FB"/>
      <rgbColor rgb="00CCFFCC"/>
      <rgbColor rgb="00F5FF7F"/>
      <rgbColor rgb="00DEEAF2"/>
      <rgbColor rgb="00FFBBBB"/>
      <rgbColor rgb="00CC99FF"/>
      <rgbColor rgb="00FFCC99"/>
      <rgbColor rgb="004D6776"/>
      <rgbColor rgb="0033CCCC"/>
      <rgbColor rgb="0060ED84"/>
      <rgbColor rgb="00FFCC33"/>
      <rgbColor rgb="00FFAB1D"/>
      <rgbColor rgb="00FF8800"/>
      <rgbColor rgb="00C4D9E9"/>
      <rgbColor rgb="00969696"/>
      <rgbColor rgb="00003366"/>
      <rgbColor rgb="005BCB77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1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disco04\sistema%20de%20consolidacion\SISTEMA-CONSOLIDACION\FECU%20%20IFRS\FECUS%20A&#209;O%202011\2.-%20FECU%20JUNIO%202011\ANALISIS%20RAZONADO%20IAMC\EEFF%20IAM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disco04\sistema%20de%20consolidacion\SISTEMA-CONSOLIDACION\FECU%20%20IFRS\FECUS%20A&#209;O%202010\3.-%20FECU%20SEPTIEMBRE%202010\Analisis%20razonado%20IAM\Analisis%20razonado%20IAM%20Sep-1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8.41\sistema%20de%20consolidacion\SISTEMA-CONSOLIDACION\FECU%20%20IFRS\FECUS%20A&#209;O%202011\3.-%20FECU%20SEPTIEMBRE%202011\ESTADOS%20FINANCIEROS\09%202010\Balance%20Fecu%20(incluye%20ajuste%20impto%20dif%20AC%20y%20reverso%20div%20prov)%2009201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disco04\sistema%20de%20consolidacion\SISTEMA-CONSOLIDACION\FECU%20%20IFRS\FECUS%20A&#209;O%202011\2.-%20FECU%20JUNIO%202011\ANALISIS%20RAZONADO%20AAC\Analisis%20razonado%20AAC%20Jun%2020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xRepositorySheet"/>
      <sheetName val="Estado de Cambio, 8"/>
      <sheetName val="flujovf, 7"/>
      <sheetName val="resultado, 6"/>
      <sheetName val="BCE, 4-5"/>
    </sheetNames>
    <sheetDataSet>
      <sheetData sheetId="0"/>
      <sheetData sheetId="1"/>
      <sheetData sheetId="2">
        <row r="24">
          <cell r="F24">
            <v>137890260</v>
          </cell>
          <cell r="G24">
            <v>128157808</v>
          </cell>
        </row>
        <row r="50">
          <cell r="F50">
            <v>-84216889</v>
          </cell>
          <cell r="G50">
            <v>-46543933</v>
          </cell>
        </row>
        <row r="70">
          <cell r="F70">
            <v>-48505492</v>
          </cell>
          <cell r="G70">
            <v>-70482885</v>
          </cell>
        </row>
        <row r="78">
          <cell r="F78">
            <v>7460416</v>
          </cell>
          <cell r="G78">
            <v>26297436</v>
          </cell>
        </row>
      </sheetData>
      <sheetData sheetId="3">
        <row r="6">
          <cell r="D6">
            <v>261387507</v>
          </cell>
          <cell r="E6">
            <v>238369840</v>
          </cell>
        </row>
        <row r="7">
          <cell r="D7">
            <v>-19874225</v>
          </cell>
          <cell r="E7">
            <v>-16790730</v>
          </cell>
        </row>
        <row r="8">
          <cell r="D8">
            <v>-27597360</v>
          </cell>
          <cell r="E8">
            <v>-27429326</v>
          </cell>
        </row>
        <row r="9">
          <cell r="D9">
            <v>-40087424</v>
          </cell>
          <cell r="E9">
            <v>-39846981</v>
          </cell>
        </row>
        <row r="10">
          <cell r="D10">
            <v>-851589</v>
          </cell>
          <cell r="E10">
            <v>-1554718</v>
          </cell>
        </row>
        <row r="11">
          <cell r="D11">
            <v>-53484255</v>
          </cell>
          <cell r="E11">
            <v>-45567089</v>
          </cell>
        </row>
        <row r="12">
          <cell r="D12">
            <v>1932081</v>
          </cell>
          <cell r="E12">
            <v>1680988</v>
          </cell>
        </row>
        <row r="13">
          <cell r="D13">
            <v>5560034</v>
          </cell>
          <cell r="E13">
            <v>2777008</v>
          </cell>
        </row>
        <row r="14">
          <cell r="D14">
            <v>-20140352</v>
          </cell>
          <cell r="E14">
            <v>-16248282</v>
          </cell>
        </row>
        <row r="15">
          <cell r="D15">
            <v>7361</v>
          </cell>
          <cell r="E15">
            <v>-13189</v>
          </cell>
        </row>
        <row r="16">
          <cell r="D16">
            <v>-12962937</v>
          </cell>
          <cell r="E16">
            <v>-8430607</v>
          </cell>
        </row>
        <row r="19">
          <cell r="D19">
            <v>-17110549</v>
          </cell>
          <cell r="E19">
            <v>-13614379</v>
          </cell>
        </row>
        <row r="24">
          <cell r="D24">
            <v>38048759</v>
          </cell>
          <cell r="E24">
            <v>35960853</v>
          </cell>
        </row>
        <row r="25">
          <cell r="D25">
            <v>38729533</v>
          </cell>
          <cell r="E25">
            <v>37371682</v>
          </cell>
        </row>
      </sheetData>
      <sheetData sheetId="4">
        <row r="14">
          <cell r="D14">
            <v>79686484</v>
          </cell>
        </row>
        <row r="19">
          <cell r="E19">
            <v>77309079</v>
          </cell>
        </row>
        <row r="30">
          <cell r="D30">
            <v>1652252431</v>
          </cell>
          <cell r="E30">
            <v>1602082628</v>
          </cell>
        </row>
        <row r="46">
          <cell r="D46">
            <v>151181971</v>
          </cell>
          <cell r="E46">
            <v>93667997</v>
          </cell>
        </row>
        <row r="57">
          <cell r="D57">
            <v>629190261</v>
          </cell>
          <cell r="E57">
            <v>640047573</v>
          </cell>
        </row>
        <row r="65">
          <cell r="D65">
            <v>579850986</v>
          </cell>
          <cell r="E65">
            <v>576460227</v>
          </cell>
        </row>
        <row r="68">
          <cell r="D68">
            <v>371715697</v>
          </cell>
          <cell r="E68">
            <v>369215910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álculos"/>
      <sheetName val="cuadros"/>
    </sheetNames>
    <sheetDataSet>
      <sheetData sheetId="0">
        <row r="8">
          <cell r="D8">
            <v>1684270658</v>
          </cell>
          <cell r="E8">
            <v>1672537928</v>
          </cell>
        </row>
        <row r="13">
          <cell r="E13">
            <v>581088022</v>
          </cell>
        </row>
      </sheetData>
      <sheetData sheetId="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4000"/>
      <sheetName val="N2000"/>
      <sheetName val="N1000"/>
      <sheetName val="N5200"/>
      <sheetName val="N1000 M$"/>
      <sheetName val="N5200 M$"/>
      <sheetName val="BExRepositorySheet"/>
    </sheetNames>
    <sheetDataSet>
      <sheetData sheetId="0"/>
      <sheetData sheetId="1"/>
      <sheetData sheetId="2"/>
      <sheetData sheetId="3">
        <row r="5">
          <cell r="AU5">
            <v>1689564432635</v>
          </cell>
        </row>
      </sheetData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xRepositorySheet"/>
      <sheetName val="cálculos"/>
      <sheetName val="cuadros"/>
      <sheetName val="Utilidad Anualizada"/>
    </sheetNames>
    <sheetDataSet>
      <sheetData sheetId="0"/>
      <sheetData sheetId="1">
        <row r="74">
          <cell r="C74">
            <v>59152268</v>
          </cell>
          <cell r="D74">
            <v>54984723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/>
  <sheetData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X203"/>
  <sheetViews>
    <sheetView showGridLines="0" topLeftCell="A84" workbookViewId="0">
      <selection activeCell="B96" sqref="B96"/>
    </sheetView>
  </sheetViews>
  <sheetFormatPr baseColWidth="10" defaultRowHeight="12.75"/>
  <cols>
    <col min="1" max="1" width="9.85546875" style="1" customWidth="1"/>
    <col min="2" max="2" width="40" style="1" bestFit="1" customWidth="1"/>
    <col min="3" max="3" width="16.140625" style="1" customWidth="1"/>
    <col min="4" max="4" width="15.140625" style="1" customWidth="1"/>
    <col min="5" max="6" width="15.42578125" style="1" customWidth="1"/>
    <col min="7" max="7" width="11.7109375" style="1" bestFit="1" customWidth="1"/>
    <col min="8" max="8" width="31.5703125" style="1" customWidth="1"/>
    <col min="9" max="9" width="7.140625" style="1" customWidth="1"/>
    <col min="10" max="10" width="21" style="1" bestFit="1" customWidth="1"/>
    <col min="11" max="11" width="11.140625" style="2" customWidth="1"/>
    <col min="12" max="12" width="17.85546875" style="2" customWidth="1"/>
    <col min="13" max="13" width="11.140625" style="2" customWidth="1"/>
    <col min="14" max="14" width="1.7109375" style="2" customWidth="1"/>
    <col min="15" max="15" width="10.7109375" style="1" customWidth="1"/>
    <col min="16" max="16" width="11.7109375" style="101" customWidth="1"/>
    <col min="17" max="17" width="28" style="88" bestFit="1" customWidth="1"/>
    <col min="18" max="18" width="11.85546875" style="88" bestFit="1" customWidth="1"/>
    <col min="19" max="22" width="11.42578125" style="88"/>
    <col min="23" max="16384" width="11.42578125" style="1"/>
  </cols>
  <sheetData>
    <row r="2" spans="2:24" ht="15.75">
      <c r="B2" s="72" t="s">
        <v>116</v>
      </c>
      <c r="Q2" s="90"/>
      <c r="R2" s="90"/>
      <c r="S2" s="90"/>
      <c r="T2" s="113"/>
      <c r="U2" s="90"/>
      <c r="V2" s="90"/>
    </row>
    <row r="3" spans="2:24">
      <c r="H3" s="3" t="s">
        <v>2</v>
      </c>
      <c r="L3" s="4"/>
      <c r="P3" s="102"/>
      <c r="Q3" s="89"/>
      <c r="R3" s="114"/>
      <c r="S3" s="90"/>
      <c r="T3" s="90"/>
      <c r="U3" s="90"/>
      <c r="V3" s="90"/>
    </row>
    <row r="4" spans="2:24" ht="16.5" thickBot="1">
      <c r="B4" s="6" t="s">
        <v>3</v>
      </c>
      <c r="C4" s="7"/>
      <c r="D4" s="65" t="s">
        <v>131</v>
      </c>
      <c r="E4" s="135" t="s">
        <v>98</v>
      </c>
      <c r="F4" s="154"/>
      <c r="H4" s="8" t="s">
        <v>4</v>
      </c>
      <c r="J4" s="9" t="str">
        <f>+D4</f>
        <v>septiembre 2011</v>
      </c>
      <c r="L4" s="9" t="str">
        <f>+E4</f>
        <v>Diciembre 2010</v>
      </c>
      <c r="N4" s="5"/>
      <c r="O4" s="10"/>
      <c r="P4" s="102"/>
      <c r="Q4" s="89"/>
      <c r="R4" s="115"/>
      <c r="S4" s="115"/>
      <c r="T4" s="116"/>
      <c r="U4" s="115"/>
      <c r="V4" s="115"/>
    </row>
    <row r="5" spans="2:24" ht="16.5" thickBot="1">
      <c r="B5" s="11" t="s">
        <v>5</v>
      </c>
      <c r="C5" s="7"/>
      <c r="D5" s="7"/>
      <c r="E5" s="7"/>
      <c r="F5" s="5"/>
      <c r="H5" s="12" t="s">
        <v>6</v>
      </c>
      <c r="J5" s="13"/>
      <c r="K5" s="4"/>
      <c r="M5" s="4"/>
      <c r="N5" s="5"/>
      <c r="P5" s="103"/>
    </row>
    <row r="6" spans="2:24" ht="13.5" thickBot="1">
      <c r="B6" s="7" t="s">
        <v>54</v>
      </c>
      <c r="C6" s="15" t="s">
        <v>7</v>
      </c>
      <c r="D6" s="16">
        <f>+'[1]BCE, 4-5'!$D$14</f>
        <v>79686484</v>
      </c>
      <c r="E6" s="16">
        <f>+'[1]BCE, 4-5'!$E$19</f>
        <v>77309079</v>
      </c>
      <c r="F6" s="155"/>
      <c r="H6" s="18" t="s">
        <v>8</v>
      </c>
      <c r="J6" s="13"/>
      <c r="K6" s="4"/>
      <c r="M6" s="4"/>
      <c r="N6" s="5"/>
      <c r="O6" s="19"/>
      <c r="P6" s="102"/>
    </row>
    <row r="7" spans="2:24" ht="13.5" thickBot="1">
      <c r="B7" s="7" t="s">
        <v>55</v>
      </c>
      <c r="C7" s="15" t="s">
        <v>7</v>
      </c>
      <c r="D7" s="16">
        <f>+'[1]BCE, 4-5'!$D$30</f>
        <v>1652252431</v>
      </c>
      <c r="E7" s="16">
        <f>+'[1]BCE, 4-5'!$E$30</f>
        <v>1602082628</v>
      </c>
      <c r="F7" s="155"/>
      <c r="H7" s="22" t="s">
        <v>52</v>
      </c>
      <c r="I7" s="1" t="s">
        <v>9</v>
      </c>
      <c r="J7" s="23">
        <f>+D6</f>
        <v>79686484</v>
      </c>
      <c r="K7" s="84">
        <f>ROUND(J7/J8,2)</f>
        <v>0.53</v>
      </c>
      <c r="L7" s="23">
        <f>+E6</f>
        <v>77309079</v>
      </c>
      <c r="M7" s="84">
        <f>ROUND(L7/L8,2)</f>
        <v>0.83</v>
      </c>
      <c r="N7" s="24"/>
      <c r="O7" s="25">
        <f>ROUND((K7/M7)-1,4)</f>
        <v>-0.3614</v>
      </c>
      <c r="P7" s="104">
        <f>ROUND((J7/L7)-1,4)</f>
        <v>3.0800000000000001E-2</v>
      </c>
      <c r="Q7" s="93">
        <f>+J7-L7</f>
        <v>2377405</v>
      </c>
      <c r="X7" s="27" t="e">
        <f>+#REF!*$T$2</f>
        <v>#REF!</v>
      </c>
    </row>
    <row r="8" spans="2:24" ht="13.5" thickBot="1">
      <c r="B8" s="31" t="s">
        <v>10</v>
      </c>
      <c r="C8" s="32"/>
      <c r="D8" s="33">
        <f>SUM(D6:D7)</f>
        <v>1731938915</v>
      </c>
      <c r="E8" s="33">
        <f>SUM(E6:E7)</f>
        <v>1679391707</v>
      </c>
      <c r="F8" s="156"/>
      <c r="H8" s="5" t="s">
        <v>53</v>
      </c>
      <c r="J8" s="13">
        <f>+D10</f>
        <v>151181971</v>
      </c>
      <c r="K8" s="4"/>
      <c r="L8" s="13">
        <f>+E10</f>
        <v>93667997</v>
      </c>
      <c r="M8" s="4"/>
      <c r="N8" s="5"/>
      <c r="O8" s="17"/>
      <c r="P8" s="104">
        <f>ROUND((J8/L8)-1,4)</f>
        <v>0.61399999999999999</v>
      </c>
      <c r="Q8" s="93">
        <f>+J8-L8</f>
        <v>57513974</v>
      </c>
    </row>
    <row r="9" spans="2:24">
      <c r="B9" s="36"/>
      <c r="C9" s="21"/>
      <c r="D9" s="37"/>
      <c r="E9" s="37"/>
      <c r="F9" s="155"/>
      <c r="H9" s="35" t="s">
        <v>11</v>
      </c>
      <c r="J9" s="13"/>
      <c r="K9" s="4"/>
      <c r="L9" s="13"/>
      <c r="M9" s="4"/>
      <c r="N9" s="5"/>
      <c r="O9" s="34"/>
      <c r="P9" s="102"/>
    </row>
    <row r="10" spans="2:24">
      <c r="B10" s="7" t="s">
        <v>57</v>
      </c>
      <c r="C10" s="15" t="s">
        <v>7</v>
      </c>
      <c r="D10" s="16">
        <f>+'[1]BCE, 4-5'!$D$46</f>
        <v>151181971</v>
      </c>
      <c r="E10" s="16">
        <f>+'[1]BCE, 4-5'!$E$46</f>
        <v>93667997</v>
      </c>
      <c r="F10" s="155">
        <f>+D10-E10</f>
        <v>57513974</v>
      </c>
      <c r="H10" s="38" t="s">
        <v>62</v>
      </c>
      <c r="I10" s="1" t="s">
        <v>9</v>
      </c>
      <c r="J10" s="23">
        <f>+D33</f>
        <v>12628295</v>
      </c>
      <c r="K10" s="84">
        <f>ROUND(J10/J11,3)</f>
        <v>8.4000000000000005E-2</v>
      </c>
      <c r="L10" s="23">
        <f>+F33</f>
        <v>7460416</v>
      </c>
      <c r="M10" s="84">
        <f>ROUND(L10/L11,3)</f>
        <v>0.08</v>
      </c>
      <c r="N10" s="24"/>
      <c r="O10" s="25">
        <f>ROUND((K10/M10)-1,0)</f>
        <v>0</v>
      </c>
      <c r="P10" s="104">
        <f>ROUND((J10/L10)-1,4)</f>
        <v>0.69269999999999998</v>
      </c>
      <c r="Q10" s="93">
        <f>+J10-L10</f>
        <v>5167879</v>
      </c>
    </row>
    <row r="11" spans="2:24" ht="13.5" thickBot="1">
      <c r="B11" s="7" t="s">
        <v>56</v>
      </c>
      <c r="C11" s="15" t="s">
        <v>7</v>
      </c>
      <c r="D11" s="16">
        <f>+'[1]BCE, 4-5'!$D$57</f>
        <v>629190261</v>
      </c>
      <c r="E11" s="16">
        <f>+'[1]BCE, 4-5'!$E$57</f>
        <v>640047573</v>
      </c>
      <c r="F11" s="155">
        <f>+D11-E11</f>
        <v>-10857312</v>
      </c>
      <c r="H11" s="5" t="s">
        <v>53</v>
      </c>
      <c r="J11" s="13">
        <f>+D10</f>
        <v>151181971</v>
      </c>
      <c r="K11" s="4"/>
      <c r="L11" s="13">
        <f>+E10</f>
        <v>93667997</v>
      </c>
      <c r="M11" s="4"/>
      <c r="N11" s="5"/>
      <c r="O11" s="17"/>
      <c r="P11" s="104">
        <f>ROUND((J11/L11)-1,4)</f>
        <v>0.61399999999999999</v>
      </c>
      <c r="Q11" s="93">
        <f>+J11-L11</f>
        <v>57513974</v>
      </c>
    </row>
    <row r="12" spans="2:24" ht="16.5" thickBot="1">
      <c r="B12" s="28" t="s">
        <v>58</v>
      </c>
      <c r="C12" s="15" t="s">
        <v>7</v>
      </c>
      <c r="D12" s="30">
        <f>+'[1]BCE, 4-5'!$D$68</f>
        <v>371715697</v>
      </c>
      <c r="E12" s="30">
        <f>+'[1]BCE, 4-5'!$E$68</f>
        <v>369215910</v>
      </c>
      <c r="F12" s="155"/>
      <c r="H12" s="12" t="s">
        <v>12</v>
      </c>
      <c r="J12" s="13"/>
      <c r="K12" s="4"/>
      <c r="L12" s="13"/>
      <c r="M12" s="4"/>
      <c r="N12" s="5"/>
      <c r="O12" s="17"/>
      <c r="P12" s="102"/>
    </row>
    <row r="13" spans="2:24" ht="13.5" thickBot="1">
      <c r="B13" s="28" t="s">
        <v>99</v>
      </c>
      <c r="C13" s="29" t="s">
        <v>7</v>
      </c>
      <c r="D13" s="30">
        <f>+'[1]BCE, 4-5'!$D$65</f>
        <v>579850986</v>
      </c>
      <c r="E13" s="30">
        <f>+'[1]BCE, 4-5'!$E$65</f>
        <v>576460227</v>
      </c>
      <c r="F13" s="155"/>
      <c r="H13" s="18" t="s">
        <v>13</v>
      </c>
      <c r="J13" s="13"/>
      <c r="K13" s="4"/>
      <c r="L13" s="13"/>
      <c r="M13" s="4"/>
      <c r="N13" s="5"/>
      <c r="O13" s="17"/>
      <c r="P13" s="102"/>
    </row>
    <row r="14" spans="2:24" ht="13.5" thickBot="1">
      <c r="B14" s="31" t="s">
        <v>10</v>
      </c>
      <c r="C14" s="32"/>
      <c r="D14" s="33">
        <f>SUM(D10:D13)</f>
        <v>1731938915</v>
      </c>
      <c r="E14" s="33">
        <f>SUM(E10:E13)</f>
        <v>1679391707</v>
      </c>
      <c r="F14" s="156"/>
      <c r="H14" s="22" t="s">
        <v>14</v>
      </c>
      <c r="I14" s="1" t="s">
        <v>9</v>
      </c>
      <c r="J14" s="23">
        <f>+D10+D11</f>
        <v>780372232</v>
      </c>
      <c r="K14" s="119">
        <f>ROUND(J14/J15,4)*100</f>
        <v>82.01</v>
      </c>
      <c r="L14" s="23">
        <f>+E10+E11</f>
        <v>733715570</v>
      </c>
      <c r="M14" s="119">
        <f>ROUND(L14/L15,4)*100</f>
        <v>77.59</v>
      </c>
      <c r="N14" s="39"/>
      <c r="O14" s="25">
        <f>ROUND((K14/M14)-1,4)</f>
        <v>5.7000000000000002E-2</v>
      </c>
      <c r="P14" s="104">
        <f>ROUND((J14/L14)-1,4)</f>
        <v>6.3600000000000004E-2</v>
      </c>
      <c r="Q14" s="93">
        <f>+J14-L14</f>
        <v>46656662</v>
      </c>
      <c r="R14" s="119"/>
    </row>
    <row r="15" spans="2:24">
      <c r="B15" s="36"/>
      <c r="C15" s="21"/>
      <c r="D15" s="37"/>
      <c r="E15" s="37"/>
      <c r="F15" s="37"/>
      <c r="H15" s="1" t="s">
        <v>0</v>
      </c>
      <c r="J15" s="13">
        <f>+D13+D12</f>
        <v>951566683</v>
      </c>
      <c r="K15" s="4"/>
      <c r="L15" s="13">
        <f>+E13+E12</f>
        <v>945676137</v>
      </c>
      <c r="M15" s="4"/>
      <c r="N15" s="5"/>
      <c r="O15" s="17"/>
      <c r="P15" s="104">
        <f>ROUND((J15/L15)-1,4)</f>
        <v>6.1999999999999998E-3</v>
      </c>
      <c r="Q15" s="93">
        <f>+J15-L15</f>
        <v>5890546</v>
      </c>
    </row>
    <row r="16" spans="2:24">
      <c r="B16" s="20" t="s">
        <v>15</v>
      </c>
      <c r="C16" s="21"/>
      <c r="D16" s="135" t="str">
        <f>+D4</f>
        <v>septiembre 2011</v>
      </c>
      <c r="E16" s="65" t="s">
        <v>132</v>
      </c>
      <c r="F16" s="65" t="s">
        <v>98</v>
      </c>
      <c r="H16" s="18" t="s">
        <v>16</v>
      </c>
      <c r="J16" s="13"/>
      <c r="K16" s="4"/>
      <c r="L16" s="13"/>
      <c r="M16" s="4"/>
      <c r="N16" s="5"/>
      <c r="O16" s="19"/>
      <c r="P16" s="102"/>
    </row>
    <row r="17" spans="1:20">
      <c r="B17" s="74"/>
      <c r="C17" s="75"/>
      <c r="D17" s="76"/>
      <c r="E17" s="76"/>
      <c r="F17" s="53"/>
      <c r="H17" s="83" t="s">
        <v>53</v>
      </c>
      <c r="I17" s="1" t="s">
        <v>9</v>
      </c>
      <c r="J17" s="23">
        <f>+D10</f>
        <v>151181971</v>
      </c>
      <c r="K17" s="119">
        <f>ROUND(J17/J18,4)*100</f>
        <v>19.37</v>
      </c>
      <c r="L17" s="23">
        <f>+E10</f>
        <v>93667997</v>
      </c>
      <c r="M17" s="119">
        <f>ROUND(L17/L18,4)*100</f>
        <v>12.770000000000001</v>
      </c>
      <c r="N17" s="39"/>
      <c r="O17" s="25">
        <f>ROUND((K17/M17)-1,4)</f>
        <v>0.51680000000000004</v>
      </c>
      <c r="P17" s="104">
        <f>ROUND((J17/L17)-1,4)</f>
        <v>0.61399999999999999</v>
      </c>
      <c r="Q17" s="93">
        <f>+J17-L17</f>
        <v>57513974</v>
      </c>
    </row>
    <row r="18" spans="1:20">
      <c r="B18" s="77" t="s">
        <v>67</v>
      </c>
      <c r="C18" s="78" t="s">
        <v>7</v>
      </c>
      <c r="D18" s="76">
        <f>+C56</f>
        <v>261387507</v>
      </c>
      <c r="E18" s="76">
        <f>+D56</f>
        <v>238369840</v>
      </c>
      <c r="F18" s="76">
        <v>328960266</v>
      </c>
      <c r="H18" s="1" t="s">
        <v>17</v>
      </c>
      <c r="J18" s="13">
        <f>+D10+D11</f>
        <v>780372232</v>
      </c>
      <c r="K18" s="4"/>
      <c r="L18" s="13">
        <f>+E10+E11</f>
        <v>733715570</v>
      </c>
      <c r="M18" s="4"/>
      <c r="N18" s="5"/>
      <c r="O18" s="17"/>
      <c r="P18" s="104">
        <f>ROUND((J18/L18)-1,4)</f>
        <v>6.3600000000000004E-2</v>
      </c>
      <c r="Q18" s="93">
        <f>+J18-L18</f>
        <v>46656662</v>
      </c>
    </row>
    <row r="19" spans="1:20">
      <c r="B19" s="77" t="s">
        <v>68</v>
      </c>
      <c r="C19" s="78" t="s">
        <v>7</v>
      </c>
      <c r="D19" s="76">
        <f>-C57-C59-C60-C61-C58</f>
        <v>141894853</v>
      </c>
      <c r="E19" s="76">
        <f>-D57-D59-D60-D61-D58</f>
        <v>131188844</v>
      </c>
      <c r="F19" s="76">
        <v>180276401</v>
      </c>
      <c r="H19" s="18" t="s">
        <v>18</v>
      </c>
      <c r="J19" s="13"/>
      <c r="K19" s="4"/>
      <c r="L19" s="13"/>
      <c r="M19" s="4"/>
      <c r="N19" s="5"/>
      <c r="O19" s="19"/>
      <c r="P19" s="105"/>
      <c r="Q19" s="92"/>
      <c r="R19" s="91"/>
      <c r="T19" s="93"/>
    </row>
    <row r="20" spans="1:20">
      <c r="B20" s="74" t="s">
        <v>74</v>
      </c>
      <c r="C20" s="75" t="s">
        <v>7</v>
      </c>
      <c r="D20" s="76">
        <f>+C70</f>
        <v>93888841</v>
      </c>
      <c r="E20" s="76">
        <f>+D70</f>
        <v>86946914</v>
      </c>
      <c r="F20" s="76">
        <v>123144709</v>
      </c>
      <c r="H20" s="83" t="s">
        <v>63</v>
      </c>
      <c r="I20" s="1" t="s">
        <v>9</v>
      </c>
      <c r="J20" s="23">
        <f>+D11</f>
        <v>629190261</v>
      </c>
      <c r="K20" s="119">
        <f>ROUND(J20/J21,4)*100</f>
        <v>80.63</v>
      </c>
      <c r="L20" s="23">
        <f>+E11</f>
        <v>640047573</v>
      </c>
      <c r="M20" s="119">
        <f>ROUND(L20/L21,4)*100</f>
        <v>87.22999999999999</v>
      </c>
      <c r="N20" s="39"/>
      <c r="O20" s="25">
        <f>ROUND((K20/M20)-1,4)</f>
        <v>-7.5700000000000003E-2</v>
      </c>
      <c r="P20" s="104">
        <f>ROUND((J20/L20)-1,4)</f>
        <v>-1.7000000000000001E-2</v>
      </c>
      <c r="Q20" s="93">
        <f>+J20-L20</f>
        <v>-10857312</v>
      </c>
      <c r="R20" s="91"/>
      <c r="T20" s="93"/>
    </row>
    <row r="21" spans="1:20">
      <c r="B21" s="77" t="s">
        <v>21</v>
      </c>
      <c r="C21" s="78" t="s">
        <v>7</v>
      </c>
      <c r="D21" s="76">
        <f>+C64</f>
        <v>-20140352</v>
      </c>
      <c r="E21" s="76">
        <f>+D64</f>
        <v>-16248282</v>
      </c>
      <c r="F21" s="76">
        <v>-22746948</v>
      </c>
      <c r="H21" s="1" t="s">
        <v>17</v>
      </c>
      <c r="J21" s="13">
        <f>+J18</f>
        <v>780372232</v>
      </c>
      <c r="K21" s="4" t="s">
        <v>2</v>
      </c>
      <c r="L21" s="13">
        <f>+L18</f>
        <v>733715570</v>
      </c>
      <c r="M21" s="4" t="s">
        <v>2</v>
      </c>
      <c r="N21" s="5"/>
      <c r="O21" s="17"/>
      <c r="P21" s="104">
        <f>ROUND((J21/L21)-1,4)</f>
        <v>6.3600000000000004E-2</v>
      </c>
      <c r="Q21" s="93">
        <f>+J21-L21</f>
        <v>46656662</v>
      </c>
      <c r="T21" s="93"/>
    </row>
    <row r="22" spans="1:20">
      <c r="B22" s="77" t="s">
        <v>23</v>
      </c>
      <c r="C22" s="78" t="s">
        <v>7</v>
      </c>
      <c r="D22" s="76">
        <f>+J32</f>
        <v>76657551</v>
      </c>
      <c r="E22" s="76">
        <f>+K32</f>
        <v>0</v>
      </c>
      <c r="F22" s="76">
        <f>+L32</f>
        <v>146004200</v>
      </c>
      <c r="H22" s="18" t="s">
        <v>19</v>
      </c>
      <c r="J22" s="13"/>
      <c r="K22" s="4"/>
      <c r="L22" s="13"/>
      <c r="M22" s="4"/>
      <c r="N22" s="5"/>
      <c r="O22" s="17"/>
      <c r="P22" s="106"/>
    </row>
    <row r="23" spans="1:20">
      <c r="B23" s="99" t="s">
        <v>25</v>
      </c>
      <c r="C23" s="100" t="s">
        <v>7</v>
      </c>
      <c r="D23" s="76">
        <f>+C74</f>
        <v>38048759</v>
      </c>
      <c r="E23" s="76">
        <f>+D74</f>
        <v>35960853</v>
      </c>
      <c r="F23" s="76">
        <v>51000911</v>
      </c>
      <c r="G23" s="292">
        <f>+F23-D23</f>
        <v>12952152</v>
      </c>
      <c r="H23" s="22" t="s">
        <v>20</v>
      </c>
      <c r="I23" s="21"/>
      <c r="J23" s="50">
        <f>+D20-D21</f>
        <v>114029193</v>
      </c>
      <c r="K23" s="84">
        <f>ROUND(J23/J24,2)</f>
        <v>5.66</v>
      </c>
      <c r="L23" s="50">
        <f>+F20-F21</f>
        <v>145891657</v>
      </c>
      <c r="M23" s="84">
        <f>ROUND(L23/L24,2)</f>
        <v>6.41</v>
      </c>
      <c r="N23" s="26"/>
      <c r="O23" s="25">
        <f>ROUND((K23/M23)-1,4)</f>
        <v>-0.11700000000000001</v>
      </c>
      <c r="P23" s="104">
        <f>ROUND((J23/L23)-1,4)</f>
        <v>-0.21840000000000001</v>
      </c>
      <c r="Q23" s="93">
        <f>+J23-L23</f>
        <v>-31862464</v>
      </c>
    </row>
    <row r="24" spans="1:20" ht="13.5" thickBot="1">
      <c r="B24" s="66" t="s">
        <v>27</v>
      </c>
      <c r="C24" s="67" t="s">
        <v>7</v>
      </c>
      <c r="D24" s="76">
        <f>+C71</f>
        <v>-17110549</v>
      </c>
      <c r="E24" s="76">
        <f>+D71</f>
        <v>-13614379</v>
      </c>
      <c r="F24" s="76">
        <v>-19222568</v>
      </c>
      <c r="H24" s="5" t="s">
        <v>22</v>
      </c>
      <c r="J24" s="4">
        <f>-D21</f>
        <v>20140352</v>
      </c>
      <c r="K24" s="43"/>
      <c r="L24" s="4">
        <f>+L28</f>
        <v>22746948</v>
      </c>
      <c r="M24" s="43"/>
      <c r="N24" s="5"/>
      <c r="O24" s="13"/>
      <c r="P24" s="104">
        <f>ROUND((J24/L24)-1,4)</f>
        <v>-0.11459999999999999</v>
      </c>
      <c r="Q24" s="93">
        <f>+J24-L24</f>
        <v>-2606596</v>
      </c>
      <c r="T24" s="94"/>
    </row>
    <row r="25" spans="1:20" ht="16.5" thickBot="1">
      <c r="B25" s="77" t="s">
        <v>69</v>
      </c>
      <c r="C25" s="78" t="s">
        <v>7</v>
      </c>
      <c r="D25" s="76">
        <f>+C59</f>
        <v>-40087424</v>
      </c>
      <c r="E25" s="76">
        <f>+D59</f>
        <v>-39846981</v>
      </c>
      <c r="F25" s="76">
        <v>-53033773</v>
      </c>
      <c r="H25" s="12" t="s">
        <v>34</v>
      </c>
      <c r="J25" s="13"/>
      <c r="K25" s="4"/>
      <c r="L25" s="13"/>
      <c r="M25" s="4"/>
      <c r="N25" s="5"/>
      <c r="O25" s="17"/>
      <c r="P25" s="102"/>
      <c r="Q25" s="95"/>
      <c r="T25" s="95"/>
    </row>
    <row r="26" spans="1:20" ht="11.25" customHeight="1">
      <c r="B26" s="68"/>
      <c r="C26" s="69"/>
      <c r="D26" s="70"/>
      <c r="E26" s="228"/>
      <c r="F26" s="152"/>
      <c r="H26" s="1" t="s">
        <v>64</v>
      </c>
      <c r="I26" s="1" t="s">
        <v>9</v>
      </c>
      <c r="J26" s="85">
        <f>+D23</f>
        <v>38048759</v>
      </c>
      <c r="K26" s="4"/>
      <c r="L26" s="85">
        <f>+F23</f>
        <v>51000911</v>
      </c>
      <c r="M26" s="4"/>
      <c r="N26" s="5"/>
      <c r="O26" s="17"/>
      <c r="P26" s="102">
        <v>1000</v>
      </c>
      <c r="R26" s="91"/>
    </row>
    <row r="27" spans="1:20">
      <c r="A27" s="45"/>
      <c r="B27" s="22"/>
      <c r="C27" s="21"/>
      <c r="D27" s="9" t="str">
        <f>+D4</f>
        <v>septiembre 2011</v>
      </c>
      <c r="E27" s="9" t="str">
        <f>+E16</f>
        <v>septiembre 2010</v>
      </c>
      <c r="F27" s="9" t="str">
        <f>+E4</f>
        <v>Diciembre 2010</v>
      </c>
      <c r="H27" s="1" t="s">
        <v>36</v>
      </c>
      <c r="I27" s="1" t="s">
        <v>9</v>
      </c>
      <c r="J27" s="85">
        <f>-D24</f>
        <v>17110549</v>
      </c>
      <c r="K27" s="4"/>
      <c r="L27" s="85">
        <f>-F24</f>
        <v>19222568</v>
      </c>
      <c r="M27" s="4"/>
      <c r="N27" s="5"/>
      <c r="O27" s="17"/>
      <c r="P27" s="102"/>
      <c r="Q27" s="94"/>
      <c r="R27" s="91"/>
      <c r="T27" s="94"/>
    </row>
    <row r="28" spans="1:20">
      <c r="B28" s="71" t="s">
        <v>59</v>
      </c>
      <c r="C28" s="15" t="s">
        <v>7</v>
      </c>
      <c r="D28" s="41">
        <f>+'[1]flujovf, 7'!$F$24</f>
        <v>137890260</v>
      </c>
      <c r="E28" s="41">
        <f>+'[1]flujovf, 7'!$G$24</f>
        <v>128157808</v>
      </c>
      <c r="F28" s="152"/>
      <c r="H28" s="1" t="s">
        <v>37</v>
      </c>
      <c r="I28" s="1" t="s">
        <v>9</v>
      </c>
      <c r="J28" s="85">
        <f>-D21</f>
        <v>20140352</v>
      </c>
      <c r="K28" s="4"/>
      <c r="L28" s="85">
        <f>-F21</f>
        <v>22746948</v>
      </c>
      <c r="M28" s="4"/>
      <c r="N28" s="14"/>
      <c r="O28" s="17"/>
      <c r="P28" s="108"/>
      <c r="Q28" s="96"/>
      <c r="R28" s="91"/>
      <c r="T28" s="96"/>
    </row>
    <row r="29" spans="1:20">
      <c r="A29" s="47"/>
      <c r="B29" s="7" t="s">
        <v>60</v>
      </c>
      <c r="C29" s="15" t="s">
        <v>7</v>
      </c>
      <c r="D29" s="41">
        <f>+'[1]flujovf, 7'!$F$50</f>
        <v>-84216889</v>
      </c>
      <c r="E29" s="41">
        <f>+'[1]flujovf, 7'!$G$50</f>
        <v>-46543933</v>
      </c>
      <c r="F29" s="152"/>
      <c r="H29" s="1" t="s">
        <v>70</v>
      </c>
      <c r="I29" s="1" t="s">
        <v>9</v>
      </c>
      <c r="J29" s="85">
        <f>-D25</f>
        <v>40087424</v>
      </c>
      <c r="K29" s="4"/>
      <c r="L29" s="85">
        <f>-F25</f>
        <v>53033773</v>
      </c>
      <c r="M29" s="4"/>
      <c r="N29" s="5"/>
      <c r="O29" s="17"/>
      <c r="P29" s="102"/>
      <c r="R29" s="91"/>
    </row>
    <row r="30" spans="1:20">
      <c r="A30" s="49"/>
      <c r="B30" s="7" t="s">
        <v>61</v>
      </c>
      <c r="C30" s="15" t="s">
        <v>7</v>
      </c>
      <c r="D30" s="41">
        <f>+'[1]flujovf, 7'!$F$70</f>
        <v>-48505492</v>
      </c>
      <c r="E30" s="41">
        <f>+'[1]flujovf, 7'!$G$70</f>
        <v>-70482885</v>
      </c>
      <c r="F30" s="152"/>
      <c r="H30" s="1" t="s">
        <v>71</v>
      </c>
      <c r="I30" s="1" t="s">
        <v>9</v>
      </c>
      <c r="J30" s="85">
        <f>-C72</f>
        <v>-38729533</v>
      </c>
      <c r="L30" s="85">
        <f>-E72</f>
        <v>0</v>
      </c>
      <c r="N30" s="5"/>
      <c r="O30" s="17"/>
      <c r="P30" s="102"/>
      <c r="Q30" s="97"/>
      <c r="R30" s="91"/>
      <c r="T30" s="97"/>
    </row>
    <row r="31" spans="1:20">
      <c r="A31" s="49"/>
      <c r="B31" s="40" t="s">
        <v>35</v>
      </c>
      <c r="C31" s="15" t="s">
        <v>7</v>
      </c>
      <c r="D31" s="42">
        <f>SUM(D28:D30)</f>
        <v>5167879</v>
      </c>
      <c r="E31" s="42">
        <f>SUM(E28:E30)</f>
        <v>11130990</v>
      </c>
      <c r="F31" s="153"/>
      <c r="H31" s="1" t="s">
        <v>40</v>
      </c>
      <c r="I31" s="1" t="s">
        <v>9</v>
      </c>
      <c r="J31" s="85">
        <v>0</v>
      </c>
      <c r="K31" s="4"/>
      <c r="L31" s="85">
        <v>0</v>
      </c>
      <c r="M31" s="4"/>
      <c r="N31" s="5"/>
      <c r="O31" s="17"/>
      <c r="P31" s="102"/>
      <c r="R31" s="91"/>
    </row>
    <row r="32" spans="1:20" ht="13.5">
      <c r="A32" s="49"/>
      <c r="B32" s="7" t="s">
        <v>38</v>
      </c>
      <c r="C32" s="15" t="s">
        <v>7</v>
      </c>
      <c r="D32" s="41">
        <f>+'[1]flujovf, 7'!$F$78</f>
        <v>7460416</v>
      </c>
      <c r="E32" s="41">
        <f>+'[1]flujovf, 7'!$G$78</f>
        <v>26297436</v>
      </c>
      <c r="F32" s="152"/>
      <c r="H32" s="18" t="s">
        <v>23</v>
      </c>
      <c r="J32" s="86">
        <f>SUM(J26:J31)</f>
        <v>76657551</v>
      </c>
      <c r="K32" s="87"/>
      <c r="L32" s="86">
        <f>SUM(L26:L31)</f>
        <v>146004200</v>
      </c>
      <c r="M32" s="84">
        <f>ROUND((J32/L32)-1,4)</f>
        <v>-0.47499999999999998</v>
      </c>
      <c r="N32" s="14"/>
      <c r="O32" s="25"/>
      <c r="R32" s="91"/>
    </row>
    <row r="33" spans="2:20">
      <c r="B33" s="40" t="s">
        <v>39</v>
      </c>
      <c r="C33" s="15" t="s">
        <v>7</v>
      </c>
      <c r="D33" s="42">
        <f>+D32+D31</f>
        <v>12628295</v>
      </c>
      <c r="E33" s="42">
        <f>+E32+E31</f>
        <v>37428426</v>
      </c>
      <c r="F33" s="42">
        <v>7460416</v>
      </c>
      <c r="H33" s="18"/>
      <c r="J33" s="13"/>
      <c r="K33" s="4"/>
      <c r="L33" s="13"/>
      <c r="M33" s="4"/>
      <c r="N33" s="14"/>
      <c r="O33" s="17"/>
      <c r="P33" s="109"/>
      <c r="Q33" s="98"/>
      <c r="R33" s="91"/>
      <c r="T33" s="98"/>
    </row>
    <row r="34" spans="2:20">
      <c r="B34"/>
      <c r="C34"/>
      <c r="D34"/>
      <c r="E34"/>
      <c r="F34"/>
      <c r="H34" s="18"/>
      <c r="J34" s="13"/>
      <c r="K34" s="119"/>
      <c r="L34" s="13"/>
      <c r="M34" s="119"/>
      <c r="N34" s="14"/>
      <c r="O34" s="25"/>
      <c r="P34" s="104"/>
      <c r="Q34" s="96"/>
      <c r="R34" s="91"/>
      <c r="T34" s="96"/>
    </row>
    <row r="35" spans="2:20">
      <c r="B35" s="1" t="s">
        <v>94</v>
      </c>
      <c r="C35" s="73" t="s">
        <v>98</v>
      </c>
      <c r="D35" s="79">
        <f>+E13</f>
        <v>576460227</v>
      </c>
      <c r="E35" s="17"/>
      <c r="F35" s="17"/>
      <c r="H35" s="18" t="s">
        <v>65</v>
      </c>
      <c r="J35" s="13">
        <f>+D18</f>
        <v>261387507</v>
      </c>
      <c r="K35" s="4"/>
      <c r="L35" s="13">
        <f>+E18</f>
        <v>238369840</v>
      </c>
      <c r="M35" s="4"/>
      <c r="N35" s="14"/>
      <c r="P35" s="104">
        <f>ROUND((J35/L35)-1,4)</f>
        <v>9.6600000000000005E-2</v>
      </c>
      <c r="R35" s="91"/>
    </row>
    <row r="36" spans="2:20" ht="13.5" thickBot="1">
      <c r="B36" s="1" t="s">
        <v>94</v>
      </c>
      <c r="C36" s="73" t="s">
        <v>90</v>
      </c>
      <c r="D36" s="79">
        <f>+[2]cálculos!$E$13</f>
        <v>581088022</v>
      </c>
      <c r="E36" s="17"/>
      <c r="F36" s="17"/>
      <c r="H36" s="18"/>
      <c r="J36" s="52"/>
      <c r="K36" s="4"/>
      <c r="L36" s="52"/>
      <c r="M36" s="4"/>
      <c r="N36" s="14"/>
      <c r="P36" s="108"/>
      <c r="R36" s="91"/>
    </row>
    <row r="37" spans="2:20" ht="16.5" thickBot="1">
      <c r="B37" s="1" t="s">
        <v>94</v>
      </c>
      <c r="C37" s="73" t="s">
        <v>134</v>
      </c>
      <c r="D37" s="79">
        <v>577763669</v>
      </c>
      <c r="E37" s="17"/>
      <c r="F37" s="17"/>
      <c r="H37" s="12" t="s">
        <v>41</v>
      </c>
      <c r="J37" s="13"/>
      <c r="K37" s="4"/>
      <c r="L37" s="13"/>
      <c r="M37" s="4"/>
      <c r="N37" s="5"/>
      <c r="P37" s="108"/>
      <c r="Q37" s="94"/>
      <c r="R37" s="94" t="s">
        <v>2</v>
      </c>
      <c r="T37" s="94"/>
    </row>
    <row r="38" spans="2:20">
      <c r="B38" s="1" t="s">
        <v>1</v>
      </c>
      <c r="C38" s="73" t="s">
        <v>90</v>
      </c>
      <c r="D38" s="80">
        <f>+[2]cálculos!$E$8</f>
        <v>1672537928</v>
      </c>
      <c r="E38" s="17"/>
      <c r="F38" s="17"/>
      <c r="H38" s="18" t="s">
        <v>42</v>
      </c>
      <c r="J38" s="13"/>
      <c r="K38" s="4"/>
      <c r="L38" s="13"/>
      <c r="M38" s="4"/>
      <c r="N38" s="5"/>
      <c r="O38" s="61"/>
      <c r="R38" s="91"/>
    </row>
    <row r="39" spans="2:20">
      <c r="B39" s="5" t="s">
        <v>1</v>
      </c>
      <c r="C39" s="73" t="s">
        <v>134</v>
      </c>
      <c r="D39" s="80">
        <f>+[2]cálculos!$D$8</f>
        <v>1684270658</v>
      </c>
      <c r="E39">
        <f>+[3]N5200!$AU$5/1000</f>
        <v>1689564432.635</v>
      </c>
      <c r="F39" s="293">
        <f>+D39-E39</f>
        <v>-5293774.6349999905</v>
      </c>
      <c r="H39" s="22" t="s">
        <v>43</v>
      </c>
      <c r="I39" s="1" t="s">
        <v>9</v>
      </c>
      <c r="J39" s="23">
        <f>+'Utilidad Anualizada'!C7</f>
        <v>53088817</v>
      </c>
      <c r="K39" s="119">
        <f>ROUND(J39/J40,4)*100</f>
        <v>9.17</v>
      </c>
      <c r="L39" s="23">
        <f>+F23</f>
        <v>51000911</v>
      </c>
      <c r="M39" s="119">
        <v>8.7899999999999991</v>
      </c>
      <c r="N39" s="39"/>
      <c r="O39" s="25">
        <f>ROUND((K39/M39)-1,4)</f>
        <v>4.3200000000000002E-2</v>
      </c>
      <c r="P39" s="246">
        <f>ROUND((J39/L39)-1,4)</f>
        <v>4.0899999999999999E-2</v>
      </c>
      <c r="Q39" s="93">
        <f>+J39-L39</f>
        <v>2087906</v>
      </c>
      <c r="R39" s="151"/>
    </row>
    <row r="40" spans="2:20">
      <c r="B40"/>
      <c r="C40"/>
      <c r="D40"/>
      <c r="E40"/>
      <c r="F40"/>
      <c r="H40" s="1" t="s">
        <v>95</v>
      </c>
      <c r="I40" s="1" t="s">
        <v>2</v>
      </c>
      <c r="J40" s="13">
        <f>ROUND((D37+D13)/2,0)</f>
        <v>578807328</v>
      </c>
      <c r="K40" s="4"/>
      <c r="L40" s="13">
        <f>ROUND((D35+D36)/2,0)</f>
        <v>578774125</v>
      </c>
      <c r="M40" s="4"/>
      <c r="N40" s="5"/>
      <c r="O40" s="25"/>
      <c r="P40" s="104">
        <f>ROUND((J40/L40)-1,4)</f>
        <v>1E-4</v>
      </c>
      <c r="Q40" s="93">
        <f>+J40-L40</f>
        <v>33203</v>
      </c>
      <c r="R40" s="91"/>
    </row>
    <row r="41" spans="2:20">
      <c r="B41" s="65" t="s">
        <v>66</v>
      </c>
      <c r="C41" s="65" t="s">
        <v>112</v>
      </c>
      <c r="D41" s="65" t="s">
        <v>104</v>
      </c>
      <c r="E41"/>
      <c r="F41"/>
      <c r="H41" s="18" t="s">
        <v>44</v>
      </c>
      <c r="J41" s="13"/>
      <c r="K41" s="4"/>
      <c r="L41" s="13"/>
      <c r="M41" s="4"/>
      <c r="N41" s="5"/>
      <c r="O41" s="61"/>
      <c r="P41" s="110"/>
      <c r="Q41" s="151"/>
      <c r="R41" s="91"/>
    </row>
    <row r="42" spans="2:20">
      <c r="B42" s="269">
        <f>+C88</f>
        <v>40317</v>
      </c>
      <c r="C42" s="149">
        <v>0</v>
      </c>
      <c r="D42" s="149">
        <f>+D88</f>
        <v>44.679000000000002</v>
      </c>
      <c r="E42"/>
      <c r="F42"/>
      <c r="H42" s="22" t="s">
        <v>43</v>
      </c>
      <c r="I42" s="1" t="s">
        <v>9</v>
      </c>
      <c r="J42" s="50">
        <f>+J39</f>
        <v>53088817</v>
      </c>
      <c r="K42" s="119">
        <f>ROUND(J42/J43,4)*100</f>
        <v>3.1</v>
      </c>
      <c r="L42" s="50">
        <f>+L39</f>
        <v>51000911</v>
      </c>
      <c r="M42" s="119">
        <f>ROUND(L42/L43,4)*100</f>
        <v>3.04</v>
      </c>
      <c r="N42" s="39"/>
      <c r="O42" s="25">
        <f>ROUND((K42/M42)-1,4)</f>
        <v>1.9699999999999999E-2</v>
      </c>
      <c r="P42" s="104">
        <f>ROUND((J42/L42)-1,4)</f>
        <v>4.0899999999999999E-2</v>
      </c>
      <c r="Q42" s="93">
        <f>+J42-L42</f>
        <v>2087906</v>
      </c>
    </row>
    <row r="43" spans="2:20">
      <c r="B43" s="269">
        <f>+C91</f>
        <v>40500</v>
      </c>
      <c r="C43" s="149">
        <f>+D91</f>
        <v>16.343499999999999</v>
      </c>
      <c r="D43" s="149">
        <f>+D91</f>
        <v>16.343499999999999</v>
      </c>
      <c r="E43"/>
      <c r="F43"/>
      <c r="H43" s="1" t="s">
        <v>45</v>
      </c>
      <c r="I43" s="1" t="s">
        <v>2</v>
      </c>
      <c r="J43" s="54">
        <f>ROUND((+D8+E39)/2,0)</f>
        <v>1710751674</v>
      </c>
      <c r="K43" s="4"/>
      <c r="L43" s="54">
        <f>ROUND((E8+D38)/2,0)</f>
        <v>1675964818</v>
      </c>
      <c r="M43" s="4"/>
      <c r="N43" s="55"/>
      <c r="O43" s="25"/>
      <c r="P43" s="104">
        <f>ROUND((J43/L43)-1,4)</f>
        <v>2.0799999999999999E-2</v>
      </c>
      <c r="Q43" s="93">
        <f>+J43-L43</f>
        <v>34786856</v>
      </c>
    </row>
    <row r="44" spans="2:20">
      <c r="B44" s="269">
        <f>+C92</f>
        <v>40681</v>
      </c>
      <c r="C44" s="1">
        <f>+D92</f>
        <v>34.658000000000001</v>
      </c>
      <c r="D44" s="149">
        <v>0</v>
      </c>
      <c r="E44"/>
      <c r="F44"/>
      <c r="H44" s="18" t="s">
        <v>46</v>
      </c>
      <c r="J44" s="13"/>
      <c r="K44" s="4"/>
      <c r="L44" s="13"/>
      <c r="M44" s="4"/>
      <c r="N44" s="5"/>
      <c r="P44" s="111"/>
    </row>
    <row r="45" spans="2:20">
      <c r="E45"/>
      <c r="F45"/>
      <c r="H45" s="22" t="s">
        <v>47</v>
      </c>
      <c r="I45" s="1" t="s">
        <v>9</v>
      </c>
      <c r="J45" s="23">
        <f>+J42*1000</f>
        <v>53088817000</v>
      </c>
      <c r="K45" s="84">
        <f>ROUND(J45/J46,2)</f>
        <v>53.09</v>
      </c>
      <c r="L45" s="23">
        <f>+L39*1000</f>
        <v>51000911000</v>
      </c>
      <c r="M45" s="84">
        <f>ROUND(L45/L46,2)</f>
        <v>51</v>
      </c>
      <c r="N45" s="56"/>
      <c r="O45" s="25">
        <f>ROUND((K45/M45)-1,4)</f>
        <v>4.1000000000000002E-2</v>
      </c>
      <c r="P45" s="104">
        <f>ROUND((J45/L45)-1,4)</f>
        <v>4.0899999999999999E-2</v>
      </c>
    </row>
    <row r="46" spans="2:20">
      <c r="B46"/>
      <c r="C46"/>
      <c r="D46"/>
      <c r="E46"/>
      <c r="F46"/>
      <c r="H46" s="1" t="s">
        <v>48</v>
      </c>
      <c r="J46" s="13">
        <f>+F91</f>
        <v>1000000000</v>
      </c>
      <c r="K46" s="4"/>
      <c r="L46" s="13">
        <f>+F91</f>
        <v>1000000000</v>
      </c>
      <c r="M46" s="4"/>
      <c r="N46" s="5"/>
      <c r="P46" s="104">
        <f>ROUND((J46/L46)-1,4)</f>
        <v>0</v>
      </c>
    </row>
    <row r="47" spans="2:20">
      <c r="B47"/>
      <c r="C47" s="242">
        <f>SUM(C42:C44)</f>
        <v>51.0015</v>
      </c>
      <c r="D47" s="270">
        <f>+D43+D42</f>
        <v>61.022500000000001</v>
      </c>
      <c r="E47"/>
      <c r="F47"/>
      <c r="H47" s="18" t="s">
        <v>49</v>
      </c>
      <c r="J47" s="13"/>
      <c r="K47" s="4"/>
      <c r="L47" s="57" t="s">
        <v>2</v>
      </c>
      <c r="M47" s="4"/>
      <c r="N47" s="5"/>
      <c r="O47" s="61"/>
    </row>
    <row r="48" spans="2:20">
      <c r="B48"/>
      <c r="C48" s="242"/>
      <c r="D48" s="242"/>
      <c r="E48"/>
      <c r="F48"/>
      <c r="H48" s="18"/>
      <c r="J48" s="13"/>
      <c r="K48" s="4"/>
      <c r="L48" s="57"/>
      <c r="M48" s="4"/>
      <c r="N48" s="5"/>
      <c r="O48" s="61"/>
    </row>
    <row r="49" spans="1:16">
      <c r="A49"/>
      <c r="B49"/>
      <c r="C49"/>
      <c r="D49"/>
      <c r="E49"/>
      <c r="F49"/>
      <c r="H49" s="22" t="s">
        <v>50</v>
      </c>
      <c r="I49" s="1" t="s">
        <v>9</v>
      </c>
      <c r="J49" s="58">
        <f>+C47</f>
        <v>51.0015</v>
      </c>
      <c r="K49" s="119">
        <f>ROUND(J49/J50,4)*100</f>
        <v>7.13</v>
      </c>
      <c r="L49" s="81">
        <f>+D47</f>
        <v>61.022500000000001</v>
      </c>
      <c r="M49" s="119">
        <f>ROUND(L49/L50,4)*100</f>
        <v>8</v>
      </c>
      <c r="N49" s="46"/>
      <c r="O49" s="25">
        <f>ROUND((K49/M49)-1,4)</f>
        <v>-0.10879999999999999</v>
      </c>
      <c r="P49" s="104">
        <f>ROUND((J49/L49)-1,4)</f>
        <v>-0.16420000000000001</v>
      </c>
    </row>
    <row r="50" spans="1:16">
      <c r="B50" s="138" t="s">
        <v>87</v>
      </c>
      <c r="C50" s="139" t="s">
        <v>88</v>
      </c>
      <c r="D50" s="140">
        <v>2124365</v>
      </c>
      <c r="E50"/>
      <c r="F50"/>
      <c r="H50" s="1" t="s">
        <v>51</v>
      </c>
      <c r="J50" s="43">
        <f>+C95</f>
        <v>715.09</v>
      </c>
      <c r="K50" s="43" t="s">
        <v>2</v>
      </c>
      <c r="L50" s="43">
        <v>763</v>
      </c>
      <c r="M50" s="43" t="s">
        <v>2</v>
      </c>
      <c r="N50" s="59"/>
      <c r="O50" s="25"/>
      <c r="P50" s="104">
        <f>ROUND((J50/L50)-1,4)</f>
        <v>-6.2799999999999995E-2</v>
      </c>
    </row>
    <row r="51" spans="1:16">
      <c r="B51" s="141"/>
      <c r="C51" s="142">
        <v>39448</v>
      </c>
      <c r="D51" s="143">
        <v>2172423</v>
      </c>
      <c r="E51"/>
      <c r="F51"/>
      <c r="H51"/>
      <c r="I51"/>
      <c r="J51"/>
      <c r="K51" s="263"/>
      <c r="L51"/>
      <c r="M51" s="82"/>
      <c r="N51"/>
      <c r="O51"/>
      <c r="P51" s="111"/>
    </row>
    <row r="52" spans="1:16">
      <c r="B52" s="144"/>
      <c r="C52" s="145" t="s">
        <v>89</v>
      </c>
      <c r="D52" s="146">
        <v>1694961</v>
      </c>
      <c r="E52"/>
      <c r="F52"/>
      <c r="H52"/>
      <c r="I52"/>
      <c r="J52"/>
      <c r="K52" s="263"/>
      <c r="L52"/>
      <c r="M52" s="147">
        <f>+J49/L49</f>
        <v>0.83578188373141049</v>
      </c>
      <c r="N52"/>
      <c r="O52"/>
    </row>
    <row r="53" spans="1:16">
      <c r="B53"/>
      <c r="C53"/>
      <c r="D53"/>
      <c r="E53"/>
      <c r="F53"/>
      <c r="I53"/>
      <c r="J53"/>
      <c r="K53" s="263"/>
      <c r="L53"/>
      <c r="M53" s="82">
        <f>+J50/L50</f>
        <v>0.93720838794233297</v>
      </c>
      <c r="N53"/>
      <c r="O53"/>
    </row>
    <row r="54" spans="1:16">
      <c r="B54"/>
      <c r="C54"/>
      <c r="D54"/>
      <c r="E54"/>
      <c r="F54"/>
      <c r="H54"/>
      <c r="I54"/>
      <c r="J54"/>
      <c r="K54" s="263"/>
      <c r="L54"/>
      <c r="M54" s="82"/>
      <c r="N54"/>
      <c r="O54"/>
      <c r="P54" s="112"/>
    </row>
    <row r="55" spans="1:16" ht="13.5" thickBot="1">
      <c r="B55"/>
      <c r="C55" s="9" t="str">
        <f>+D16</f>
        <v>septiembre 2011</v>
      </c>
      <c r="D55" s="9" t="str">
        <f>+E16</f>
        <v>septiembre 2010</v>
      </c>
      <c r="E55" s="9" t="str">
        <f>+F16</f>
        <v>Diciembre 2010</v>
      </c>
      <c r="F55"/>
      <c r="H55"/>
      <c r="I55"/>
      <c r="J55"/>
      <c r="K55" s="263"/>
      <c r="L55"/>
      <c r="M55" s="82"/>
      <c r="N55"/>
      <c r="O55"/>
    </row>
    <row r="56" spans="1:16" ht="16.5" thickBot="1">
      <c r="B56" s="117" t="s">
        <v>100</v>
      </c>
      <c r="C56" s="132">
        <f>+'[1]resultado, 6'!$D$6</f>
        <v>261387507</v>
      </c>
      <c r="D56" s="132">
        <f>+'[1]resultado, 6'!$E$6</f>
        <v>238369840</v>
      </c>
      <c r="E56" s="132"/>
      <c r="F56" s="150">
        <f>(+D56-C56)/1000</f>
        <v>-23017.667000000001</v>
      </c>
      <c r="G56" s="283"/>
      <c r="H56" s="120" t="s">
        <v>24</v>
      </c>
      <c r="I56" s="121"/>
      <c r="J56" s="122"/>
      <c r="K56" s="123"/>
      <c r="L56" s="122"/>
      <c r="M56" s="123"/>
      <c r="N56" s="5"/>
      <c r="O56" s="44"/>
      <c r="P56" s="107"/>
    </row>
    <row r="57" spans="1:16">
      <c r="B57" s="117" t="s">
        <v>101</v>
      </c>
      <c r="C57" s="132">
        <f>+'[1]resultado, 6'!$D$7</f>
        <v>-19874225</v>
      </c>
      <c r="D57" s="132">
        <f>+'[1]resultado, 6'!$E$7</f>
        <v>-16790730</v>
      </c>
      <c r="E57" s="132"/>
      <c r="F57" s="150">
        <f t="shared" ref="F57:F74" si="0">(+D57-C57)/1000</f>
        <v>3083.4949999999999</v>
      </c>
      <c r="H57" s="124" t="s">
        <v>26</v>
      </c>
      <c r="I57" s="121"/>
      <c r="J57" s="122"/>
      <c r="K57" s="123"/>
      <c r="L57" s="122"/>
      <c r="M57" s="123"/>
      <c r="N57" s="5"/>
      <c r="O57" s="17"/>
      <c r="P57" s="102"/>
    </row>
    <row r="58" spans="1:16">
      <c r="B58" s="117" t="s">
        <v>96</v>
      </c>
      <c r="C58" s="132">
        <f>+'[1]resultado, 6'!$D$8</f>
        <v>-27597360</v>
      </c>
      <c r="D58" s="132">
        <f>+'[1]resultado, 6'!$E$8</f>
        <v>-27429326</v>
      </c>
      <c r="E58" s="132"/>
      <c r="F58" s="150">
        <f t="shared" si="0"/>
        <v>168.03399999999999</v>
      </c>
      <c r="H58" s="125" t="s">
        <v>28</v>
      </c>
      <c r="I58" s="121"/>
      <c r="J58" s="126">
        <f>D19</f>
        <v>141894853</v>
      </c>
      <c r="K58" s="127">
        <f>ROUND(J58/J59,2)</f>
        <v>74.3</v>
      </c>
      <c r="L58" s="126">
        <f>E19</f>
        <v>131188844</v>
      </c>
      <c r="M58" s="127">
        <f>ROUND(L58/L59,2)</f>
        <v>61.06</v>
      </c>
      <c r="N58" s="46"/>
      <c r="O58" s="25">
        <f>ROUND((K58/M58)-1,4)</f>
        <v>0.21679999999999999</v>
      </c>
      <c r="P58" s="104">
        <f>ROUND((J58/L58)-1,4)</f>
        <v>8.1600000000000006E-2</v>
      </c>
    </row>
    <row r="59" spans="1:16">
      <c r="B59" s="117" t="s">
        <v>97</v>
      </c>
      <c r="C59" s="132">
        <f>+'[1]resultado, 6'!$D$9</f>
        <v>-40087424</v>
      </c>
      <c r="D59" s="132">
        <f>+'[1]resultado, 6'!$E$9</f>
        <v>-39846981</v>
      </c>
      <c r="E59" s="132"/>
      <c r="F59" s="150">
        <f t="shared" si="0"/>
        <v>240.44300000000001</v>
      </c>
      <c r="H59" s="121" t="s">
        <v>29</v>
      </c>
      <c r="I59" s="121"/>
      <c r="J59" s="123">
        <f>ROUND((D50+D52)/2,0)</f>
        <v>1909663</v>
      </c>
      <c r="K59" s="128" t="s">
        <v>2</v>
      </c>
      <c r="L59" s="123">
        <f>ROUND((D50+D51)/2,0)</f>
        <v>2148394</v>
      </c>
      <c r="M59" s="128" t="s">
        <v>2</v>
      </c>
      <c r="N59" s="5"/>
      <c r="O59" s="17"/>
      <c r="P59" s="104">
        <f>ROUND((J59/L59)-1,4)</f>
        <v>-0.1111</v>
      </c>
    </row>
    <row r="60" spans="1:16">
      <c r="B60" s="117" t="s">
        <v>102</v>
      </c>
      <c r="C60" s="132">
        <f>+'[1]resultado, 6'!$D$10</f>
        <v>-851589</v>
      </c>
      <c r="D60" s="132">
        <f>+'[1]resultado, 6'!$E$10</f>
        <v>-1554718</v>
      </c>
      <c r="E60" s="132"/>
      <c r="F60" s="150">
        <f t="shared" si="0"/>
        <v>-703.12900000000002</v>
      </c>
      <c r="H60" s="124" t="s">
        <v>30</v>
      </c>
      <c r="I60" s="121"/>
      <c r="J60" s="122" t="s">
        <v>2</v>
      </c>
      <c r="K60" s="123"/>
      <c r="L60" s="122"/>
      <c r="M60" s="123"/>
      <c r="N60" s="5"/>
      <c r="O60" s="17"/>
      <c r="P60" s="102"/>
    </row>
    <row r="61" spans="1:16">
      <c r="B61" s="117" t="s">
        <v>103</v>
      </c>
      <c r="C61" s="132">
        <f>+'[1]resultado, 6'!$D$11</f>
        <v>-53484255</v>
      </c>
      <c r="D61" s="132">
        <f>+'[1]resultado, 6'!$E$11</f>
        <v>-45567089</v>
      </c>
      <c r="E61" s="132"/>
      <c r="F61" s="150">
        <f t="shared" si="0"/>
        <v>7917.1660000000002</v>
      </c>
      <c r="H61" s="125" t="s">
        <v>31</v>
      </c>
      <c r="I61" s="129" t="s">
        <v>32</v>
      </c>
      <c r="J61" s="130">
        <f>+J59</f>
        <v>1909663</v>
      </c>
      <c r="K61" s="127">
        <f>ROUND((+J61/J62)*360,2)</f>
        <v>4.84</v>
      </c>
      <c r="L61" s="130">
        <f>+L59</f>
        <v>2148394</v>
      </c>
      <c r="M61" s="127">
        <f>ROUND((+L61/L62)*360,2)</f>
        <v>5.9</v>
      </c>
      <c r="N61" s="51"/>
      <c r="O61" s="25">
        <f>ROUND((K61/M61)-1,4)</f>
        <v>-0.1797</v>
      </c>
      <c r="P61" s="104">
        <f>ROUND((J61/L61)-1,4)</f>
        <v>-0.1111</v>
      </c>
    </row>
    <row r="62" spans="1:16" ht="13.5" thickBot="1">
      <c r="B62" s="118" t="s">
        <v>75</v>
      </c>
      <c r="C62" s="133">
        <f>SUM(C56:C61)</f>
        <v>119492654</v>
      </c>
      <c r="D62" s="133">
        <f>SUM(D56:D61)</f>
        <v>107180996</v>
      </c>
      <c r="E62" s="133"/>
      <c r="F62" s="150">
        <f t="shared" si="0"/>
        <v>-12311.657999999999</v>
      </c>
      <c r="H62" s="121" t="s">
        <v>28</v>
      </c>
      <c r="I62" s="121"/>
      <c r="J62" s="122">
        <f>+J58</f>
        <v>141894853</v>
      </c>
      <c r="K62" s="128" t="s">
        <v>2</v>
      </c>
      <c r="L62" s="122">
        <f>+L58</f>
        <v>131188844</v>
      </c>
      <c r="M62" s="128" t="s">
        <v>2</v>
      </c>
      <c r="N62" s="14"/>
      <c r="O62" s="17"/>
      <c r="P62" s="104">
        <f>ROUND((J62/L62)-1,4)</f>
        <v>8.1600000000000006E-2</v>
      </c>
    </row>
    <row r="63" spans="1:16" ht="16.5" thickBot="1">
      <c r="B63" s="117" t="s">
        <v>76</v>
      </c>
      <c r="C63" s="132">
        <f>+'[1]resultado, 6'!$D$13</f>
        <v>5560034</v>
      </c>
      <c r="D63" s="132">
        <f>+'[1]resultado, 6'!$E$13</f>
        <v>2777008</v>
      </c>
      <c r="E63" s="132"/>
      <c r="F63" s="150">
        <f t="shared" si="0"/>
        <v>-2783.0259999999998</v>
      </c>
      <c r="H63" s="12" t="s">
        <v>33</v>
      </c>
      <c r="J63" s="13"/>
      <c r="K63" s="4"/>
      <c r="L63" s="13"/>
      <c r="M63" s="4"/>
      <c r="N63" s="5"/>
      <c r="O63" s="17"/>
      <c r="P63" s="102"/>
    </row>
    <row r="64" spans="1:16" ht="12.75" customHeight="1">
      <c r="B64" s="117" t="s">
        <v>77</v>
      </c>
      <c r="C64" s="132">
        <f>+'[1]resultado, 6'!$D$14</f>
        <v>-20140352</v>
      </c>
      <c r="D64" s="132">
        <f>+'[1]resultado, 6'!$E$14</f>
        <v>-16248282</v>
      </c>
      <c r="E64" s="132"/>
      <c r="F64" s="150">
        <f t="shared" si="0"/>
        <v>3892.07</v>
      </c>
      <c r="L64" s="60"/>
      <c r="N64" s="5"/>
    </row>
    <row r="65" spans="2:16">
      <c r="B65" s="117" t="s">
        <v>78</v>
      </c>
      <c r="C65" s="132">
        <f>+'[1]resultado, 6'!$D$15</f>
        <v>7361</v>
      </c>
      <c r="D65" s="132">
        <f>+'[1]resultado, 6'!$E$15</f>
        <v>-13189</v>
      </c>
      <c r="E65" s="132"/>
      <c r="F65" s="150">
        <f t="shared" si="0"/>
        <v>-20.55</v>
      </c>
      <c r="K65" s="48"/>
      <c r="M65" s="48"/>
    </row>
    <row r="66" spans="2:16">
      <c r="B66" s="117" t="s">
        <v>79</v>
      </c>
      <c r="C66" s="132">
        <f>+'[1]resultado, 6'!$D$16</f>
        <v>-12962937</v>
      </c>
      <c r="D66" s="132">
        <f>+'[1]resultado, 6'!$E$16</f>
        <v>-8430607</v>
      </c>
      <c r="E66" s="132"/>
      <c r="F66" s="150">
        <f t="shared" si="0"/>
        <v>4532.33</v>
      </c>
      <c r="J66" s="283">
        <f>+C74</f>
        <v>38048759</v>
      </c>
      <c r="L66" s="284">
        <f>+D74</f>
        <v>35960853</v>
      </c>
      <c r="M66" s="284">
        <f>+L66-J66</f>
        <v>-2087906</v>
      </c>
      <c r="O66" s="25">
        <f>ROUND((J66/L66)-1,4)</f>
        <v>5.8099999999999999E-2</v>
      </c>
    </row>
    <row r="67" spans="2:16">
      <c r="B67" s="118" t="s">
        <v>80</v>
      </c>
      <c r="C67" s="133">
        <f>SUM(C63:C66)</f>
        <v>-27535894</v>
      </c>
      <c r="D67" s="133">
        <f>SUM(D63:D66)</f>
        <v>-21915070</v>
      </c>
      <c r="E67" s="133"/>
      <c r="F67" s="150">
        <f t="shared" si="0"/>
        <v>5620.8239999999996</v>
      </c>
      <c r="J67" s="1">
        <f>+[4]cálculos!$C$74</f>
        <v>59152268</v>
      </c>
      <c r="L67" s="2">
        <f>+[4]cálculos!$D$74</f>
        <v>54984723</v>
      </c>
      <c r="O67" s="25"/>
    </row>
    <row r="68" spans="2:16">
      <c r="B68" s="117" t="s">
        <v>91</v>
      </c>
      <c r="C68" s="132">
        <f>+'[1]resultado, 6'!$D$12</f>
        <v>1932081</v>
      </c>
      <c r="D68" s="132">
        <f>+'[1]resultado, 6'!$E$12</f>
        <v>1680988</v>
      </c>
      <c r="E68" s="132"/>
      <c r="F68" s="150">
        <f t="shared" si="0"/>
        <v>-251.09299999999999</v>
      </c>
      <c r="J68" s="283">
        <f>+C56</f>
        <v>261387507</v>
      </c>
      <c r="L68" s="284">
        <f>+D56</f>
        <v>238369840</v>
      </c>
      <c r="O68" s="25">
        <f>ROUND((J68/L68)-1,4)</f>
        <v>9.6600000000000005E-2</v>
      </c>
    </row>
    <row r="69" spans="2:16">
      <c r="B69" s="117" t="s">
        <v>81</v>
      </c>
      <c r="C69" s="132"/>
      <c r="D69" s="132"/>
      <c r="E69"/>
      <c r="F69" s="150">
        <f t="shared" si="0"/>
        <v>0</v>
      </c>
    </row>
    <row r="70" spans="2:16">
      <c r="B70" s="118" t="s">
        <v>82</v>
      </c>
      <c r="C70" s="133">
        <f>+C62+C67+C68+C69</f>
        <v>93888841</v>
      </c>
      <c r="D70" s="133">
        <f>+D62+D67+D68+D69</f>
        <v>86946914</v>
      </c>
      <c r="E70" s="133"/>
      <c r="F70" s="150">
        <f t="shared" si="0"/>
        <v>-6941.9269999999997</v>
      </c>
    </row>
    <row r="71" spans="2:16">
      <c r="B71" s="117" t="s">
        <v>83</v>
      </c>
      <c r="C71" s="132">
        <f>+'[1]resultado, 6'!$D$19</f>
        <v>-17110549</v>
      </c>
      <c r="D71" s="132">
        <f>+'[1]resultado, 6'!$E$19</f>
        <v>-13614379</v>
      </c>
      <c r="E71" s="132"/>
      <c r="F71" s="150">
        <f t="shared" si="0"/>
        <v>3496.17</v>
      </c>
    </row>
    <row r="72" spans="2:16">
      <c r="B72" s="117" t="s">
        <v>84</v>
      </c>
      <c r="C72" s="132">
        <f>+'[1]resultado, 6'!$D$25</f>
        <v>38729533</v>
      </c>
      <c r="D72" s="132">
        <f>+'[1]resultado, 6'!$E$25</f>
        <v>37371682</v>
      </c>
      <c r="E72" s="132"/>
      <c r="F72" s="150">
        <f t="shared" si="0"/>
        <v>-1357.8510000000001</v>
      </c>
    </row>
    <row r="73" spans="2:16">
      <c r="B73" s="136" t="s">
        <v>92</v>
      </c>
      <c r="C73" s="137">
        <f>+C70+C71</f>
        <v>76778292</v>
      </c>
      <c r="D73" s="137">
        <f>+D70+D71</f>
        <v>73332535</v>
      </c>
      <c r="E73" s="137"/>
      <c r="F73" s="150">
        <f t="shared" si="0"/>
        <v>-3445.7570000000001</v>
      </c>
      <c r="H73" s="117" t="s">
        <v>101</v>
      </c>
      <c r="J73" s="283">
        <f>+C57</f>
        <v>-19874225</v>
      </c>
      <c r="K73" s="291">
        <f>+J73/$J$78</f>
        <v>0.14090871436440949</v>
      </c>
    </row>
    <row r="74" spans="2:16" ht="13.5" thickBot="1">
      <c r="B74" s="131" t="s">
        <v>85</v>
      </c>
      <c r="C74" s="134">
        <f>+C70+C71-C72</f>
        <v>38048759</v>
      </c>
      <c r="D74" s="134">
        <f>+D70+D71-D72</f>
        <v>35960853</v>
      </c>
      <c r="E74" s="134"/>
      <c r="F74" s="150">
        <f t="shared" si="0"/>
        <v>-2087.9059999999999</v>
      </c>
      <c r="H74" s="117" t="s">
        <v>96</v>
      </c>
      <c r="J74" s="283">
        <f>+C58</f>
        <v>-27597360</v>
      </c>
      <c r="K74" s="291">
        <f>+J74/$J$78</f>
        <v>0.19566591992652693</v>
      </c>
      <c r="N74"/>
      <c r="O74"/>
    </row>
    <row r="75" spans="2:16">
      <c r="B75"/>
      <c r="C75" s="150"/>
      <c r="D75"/>
      <c r="E75"/>
      <c r="F75"/>
      <c r="G75"/>
      <c r="H75" s="117" t="s">
        <v>97</v>
      </c>
      <c r="I75"/>
      <c r="J75" s="283">
        <f>+C59</f>
        <v>-40087424</v>
      </c>
      <c r="K75" s="291">
        <f>+J75/$J$78</f>
        <v>0.2842207622194563</v>
      </c>
      <c r="L75"/>
      <c r="M75" s="82"/>
      <c r="N75"/>
      <c r="O75"/>
      <c r="P75" s="109"/>
    </row>
    <row r="76" spans="2:16">
      <c r="B76"/>
      <c r="C76" s="250">
        <f>+C74-'[1]resultado, 6'!D24</f>
        <v>0</v>
      </c>
      <c r="D76" s="250">
        <f>+D74-'[1]resultado, 6'!E24</f>
        <v>0</v>
      </c>
      <c r="E76"/>
      <c r="F76"/>
      <c r="G76"/>
      <c r="H76" s="117" t="s">
        <v>102</v>
      </c>
      <c r="I76"/>
      <c r="J76" s="283"/>
      <c r="K76" s="291">
        <f>+J76/$J$78</f>
        <v>0</v>
      </c>
      <c r="L76"/>
      <c r="M76" s="82"/>
      <c r="N76"/>
      <c r="O76"/>
      <c r="P76" s="109"/>
    </row>
    <row r="77" spans="2:16">
      <c r="B77"/>
      <c r="C77"/>
      <c r="D77"/>
      <c r="E77"/>
      <c r="F77"/>
      <c r="G77"/>
      <c r="H77" s="117" t="s">
        <v>103</v>
      </c>
      <c r="I77"/>
      <c r="J77" s="283">
        <f>+C61</f>
        <v>-53484255</v>
      </c>
      <c r="K77" s="291">
        <f>+J77/$J$78</f>
        <v>0.37920460348960727</v>
      </c>
      <c r="L77"/>
      <c r="M77" s="82"/>
      <c r="N77"/>
      <c r="O77"/>
      <c r="P77" s="109"/>
    </row>
    <row r="78" spans="2:16">
      <c r="B78"/>
      <c r="C78"/>
      <c r="D78"/>
      <c r="E78"/>
      <c r="F78"/>
      <c r="G78"/>
      <c r="H78"/>
      <c r="I78"/>
      <c r="J78" s="150">
        <f>+J77+J76+J75+J74+J73</f>
        <v>-141043264</v>
      </c>
      <c r="K78" s="263"/>
      <c r="L78"/>
      <c r="M78" s="82"/>
      <c r="N78"/>
      <c r="O78"/>
      <c r="P78" s="109"/>
    </row>
    <row r="79" spans="2:16">
      <c r="B79"/>
      <c r="C79"/>
      <c r="D79"/>
      <c r="E79"/>
      <c r="F79"/>
      <c r="G79"/>
      <c r="H79"/>
      <c r="I79"/>
      <c r="J79"/>
      <c r="K79" s="263"/>
      <c r="L79"/>
      <c r="M79" s="82"/>
      <c r="N79"/>
      <c r="O79"/>
      <c r="P79" s="109"/>
    </row>
    <row r="80" spans="2:16" ht="30.75" thickBot="1">
      <c r="B80" s="322" t="s">
        <v>117</v>
      </c>
      <c r="C80" s="323"/>
      <c r="D80" s="323"/>
      <c r="E80" s="323"/>
      <c r="F80" s="323"/>
      <c r="G80" s="323"/>
      <c r="H80"/>
      <c r="I80"/>
      <c r="J80"/>
      <c r="K80" s="263"/>
      <c r="L80"/>
      <c r="M80" s="82"/>
      <c r="N80"/>
      <c r="O80"/>
      <c r="P80" s="109"/>
    </row>
    <row r="81" spans="2:16">
      <c r="B81" s="271" t="s">
        <v>118</v>
      </c>
      <c r="C81" s="271" t="s">
        <v>119</v>
      </c>
      <c r="D81" s="272" t="s">
        <v>120</v>
      </c>
      <c r="E81" s="271" t="s">
        <v>121</v>
      </c>
      <c r="F81" s="271" t="s">
        <v>122</v>
      </c>
      <c r="G81" s="271" t="s">
        <v>123</v>
      </c>
      <c r="H81"/>
      <c r="I81"/>
      <c r="J81"/>
      <c r="K81" s="263"/>
      <c r="L81"/>
      <c r="M81" s="82"/>
      <c r="N81"/>
      <c r="O81"/>
      <c r="P81" s="109"/>
    </row>
    <row r="82" spans="2:16">
      <c r="B82" s="324" t="s">
        <v>124</v>
      </c>
      <c r="C82" s="325"/>
      <c r="D82" s="325"/>
      <c r="E82" s="325"/>
      <c r="F82" s="325"/>
      <c r="G82" s="326"/>
      <c r="H82"/>
      <c r="I82"/>
      <c r="J82"/>
      <c r="K82" s="263"/>
      <c r="L82"/>
      <c r="M82" s="82"/>
      <c r="N82"/>
      <c r="O82"/>
      <c r="P82" s="109"/>
    </row>
    <row r="83" spans="2:16">
      <c r="B83" s="273">
        <v>10</v>
      </c>
      <c r="C83" s="274">
        <v>39755</v>
      </c>
      <c r="D83" s="275">
        <v>15.3</v>
      </c>
      <c r="E83" s="274" t="s">
        <v>125</v>
      </c>
      <c r="F83" s="276">
        <v>1000000000</v>
      </c>
      <c r="G83" s="276">
        <v>15300000000</v>
      </c>
      <c r="H83"/>
      <c r="I83"/>
      <c r="J83"/>
      <c r="K83" s="263"/>
      <c r="L83"/>
      <c r="M83" s="82"/>
      <c r="N83"/>
      <c r="O83"/>
      <c r="P83" s="109"/>
    </row>
    <row r="84" spans="2:16">
      <c r="B84" s="273">
        <v>11</v>
      </c>
      <c r="C84" s="274">
        <v>39988</v>
      </c>
      <c r="D84" s="275">
        <v>12.908899999999999</v>
      </c>
      <c r="E84" s="274" t="s">
        <v>126</v>
      </c>
      <c r="F84" s="276">
        <v>1000000000</v>
      </c>
      <c r="G84" s="276">
        <v>12908900000</v>
      </c>
      <c r="H84"/>
      <c r="I84"/>
      <c r="J84"/>
      <c r="K84" s="263"/>
      <c r="L84"/>
      <c r="M84" s="82"/>
      <c r="N84"/>
      <c r="O84"/>
      <c r="P84" s="109"/>
    </row>
    <row r="85" spans="2:16">
      <c r="B85" s="273">
        <v>12</v>
      </c>
      <c r="C85" s="274">
        <v>39989</v>
      </c>
      <c r="D85" s="275">
        <v>24.221800000000002</v>
      </c>
      <c r="E85" s="274" t="s">
        <v>127</v>
      </c>
      <c r="F85" s="276">
        <v>1000000000</v>
      </c>
      <c r="G85" s="276">
        <v>24221800000</v>
      </c>
      <c r="H85"/>
      <c r="I85"/>
      <c r="J85"/>
      <c r="K85" s="263"/>
      <c r="L85"/>
      <c r="M85" s="82"/>
      <c r="N85"/>
      <c r="O85"/>
      <c r="P85" s="109"/>
    </row>
    <row r="86" spans="2:16">
      <c r="B86" s="327" t="s">
        <v>128</v>
      </c>
      <c r="C86" s="328"/>
      <c r="D86" s="328"/>
      <c r="E86" s="328"/>
      <c r="F86" s="328"/>
      <c r="G86" s="329"/>
      <c r="H86"/>
      <c r="I86"/>
      <c r="J86"/>
      <c r="K86" s="263"/>
      <c r="L86"/>
      <c r="M86" s="82"/>
      <c r="N86"/>
      <c r="O86"/>
      <c r="P86" s="109"/>
    </row>
    <row r="87" spans="2:16">
      <c r="B87" s="273">
        <v>13</v>
      </c>
      <c r="C87" s="274">
        <v>40142</v>
      </c>
      <c r="D87" s="275">
        <v>16</v>
      </c>
      <c r="E87" s="274" t="s">
        <v>125</v>
      </c>
      <c r="F87" s="276">
        <v>1000000000</v>
      </c>
      <c r="G87" s="276">
        <v>16000000000</v>
      </c>
      <c r="H87"/>
      <c r="I87"/>
      <c r="J87"/>
      <c r="K87" s="263"/>
      <c r="L87"/>
      <c r="M87" s="82"/>
      <c r="N87"/>
      <c r="O87"/>
      <c r="P87" s="109"/>
    </row>
    <row r="88" spans="2:16">
      <c r="B88" s="277">
        <v>14</v>
      </c>
      <c r="C88" s="278">
        <v>40317</v>
      </c>
      <c r="D88" s="279">
        <v>44.679000000000002</v>
      </c>
      <c r="E88" s="278" t="s">
        <v>126</v>
      </c>
      <c r="F88" s="280">
        <v>1000000000</v>
      </c>
      <c r="G88" s="280">
        <v>44679000000</v>
      </c>
      <c r="H88" s="250">
        <f>+G88+G91</f>
        <v>61022500000</v>
      </c>
      <c r="I88"/>
      <c r="J88"/>
      <c r="K88" s="263"/>
      <c r="L88"/>
      <c r="M88" s="82"/>
      <c r="N88"/>
      <c r="O88"/>
      <c r="P88" s="109"/>
    </row>
    <row r="89" spans="2:16">
      <c r="B89" s="330">
        <f>SUM(G88:G88)</f>
        <v>44679000000</v>
      </c>
      <c r="C89" s="331"/>
      <c r="D89" s="331"/>
      <c r="E89" s="331"/>
      <c r="F89" s="331"/>
      <c r="G89" s="332">
        <f>SUM(G88:G88)</f>
        <v>44679000000</v>
      </c>
      <c r="H89">
        <f>+H88/1000000</f>
        <v>61022.5</v>
      </c>
      <c r="I89"/>
      <c r="J89"/>
      <c r="K89" s="263"/>
      <c r="L89"/>
      <c r="M89" s="82"/>
      <c r="N89"/>
      <c r="O89"/>
      <c r="P89" s="109"/>
    </row>
    <row r="90" spans="2:16">
      <c r="B90"/>
      <c r="C90"/>
      <c r="D90"/>
      <c r="E90"/>
      <c r="F90"/>
      <c r="G90"/>
      <c r="H90"/>
      <c r="I90"/>
      <c r="J90"/>
      <c r="K90" s="263"/>
      <c r="L90"/>
      <c r="M90" s="82"/>
      <c r="N90"/>
      <c r="O90"/>
      <c r="P90" s="109"/>
    </row>
    <row r="91" spans="2:16">
      <c r="B91" s="277">
        <v>15</v>
      </c>
      <c r="C91" s="278">
        <v>40500</v>
      </c>
      <c r="D91" s="279">
        <v>16.343499999999999</v>
      </c>
      <c r="E91" s="278" t="s">
        <v>125</v>
      </c>
      <c r="F91" s="280">
        <v>1000000000</v>
      </c>
      <c r="G91" s="280">
        <f>+F91*D91</f>
        <v>16343499999.999998</v>
      </c>
      <c r="H91"/>
      <c r="I91"/>
      <c r="J91"/>
      <c r="K91" s="263"/>
      <c r="L91"/>
      <c r="M91" s="82"/>
      <c r="N91"/>
      <c r="O91"/>
      <c r="P91" s="109"/>
    </row>
    <row r="92" spans="2:16">
      <c r="B92" s="281">
        <v>16</v>
      </c>
      <c r="C92" s="285">
        <v>40681</v>
      </c>
      <c r="D92" s="281">
        <v>34.658000000000001</v>
      </c>
      <c r="E92" s="1" t="s">
        <v>126</v>
      </c>
      <c r="F92" s="286">
        <f>+F91</f>
        <v>1000000000</v>
      </c>
      <c r="G92" s="280">
        <f>+F92*D92</f>
        <v>34658000000</v>
      </c>
      <c r="H92"/>
      <c r="I92"/>
      <c r="J92"/>
      <c r="K92" s="263"/>
      <c r="L92"/>
      <c r="M92" s="82"/>
      <c r="N92"/>
      <c r="O92"/>
      <c r="P92" s="109"/>
    </row>
    <row r="93" spans="2:16">
      <c r="B93"/>
      <c r="C93"/>
      <c r="D93"/>
      <c r="E93"/>
      <c r="F93"/>
      <c r="G93"/>
      <c r="H93"/>
      <c r="I93"/>
      <c r="J93"/>
      <c r="K93" s="263"/>
      <c r="L93"/>
      <c r="M93" s="82"/>
      <c r="N93"/>
      <c r="O93"/>
      <c r="P93" s="109"/>
    </row>
    <row r="94" spans="2:16">
      <c r="B94"/>
      <c r="C94"/>
      <c r="D94"/>
      <c r="E94"/>
      <c r="F94"/>
      <c r="G94"/>
      <c r="H94"/>
      <c r="I94"/>
      <c r="J94"/>
      <c r="K94" s="263"/>
      <c r="L94"/>
      <c r="M94" s="82"/>
      <c r="N94"/>
      <c r="O94"/>
      <c r="P94" s="109"/>
    </row>
    <row r="95" spans="2:16">
      <c r="B95" t="s">
        <v>133</v>
      </c>
      <c r="C95">
        <v>715.09</v>
      </c>
      <c r="D95"/>
      <c r="E95"/>
      <c r="F95"/>
      <c r="G95"/>
      <c r="H95"/>
      <c r="I95"/>
      <c r="J95"/>
      <c r="K95" s="263"/>
      <c r="L95"/>
      <c r="M95" s="82"/>
      <c r="N95"/>
      <c r="O95"/>
      <c r="P95" s="109"/>
    </row>
    <row r="96" spans="2:16">
      <c r="B96" s="282" t="s">
        <v>129</v>
      </c>
      <c r="C96"/>
      <c r="D96"/>
      <c r="E96"/>
      <c r="F96"/>
      <c r="G96" s="293"/>
      <c r="H96"/>
      <c r="I96"/>
      <c r="J96"/>
      <c r="K96" s="263"/>
      <c r="L96"/>
      <c r="M96" s="82"/>
      <c r="N96"/>
      <c r="O96"/>
      <c r="P96" s="109"/>
    </row>
    <row r="97" spans="2:17">
      <c r="B97"/>
      <c r="C97"/>
      <c r="D97"/>
      <c r="E97"/>
      <c r="F97"/>
      <c r="G97" s="293"/>
      <c r="H97"/>
      <c r="I97"/>
      <c r="J97"/>
      <c r="K97" s="263"/>
      <c r="L97"/>
      <c r="M97" s="82"/>
      <c r="N97"/>
      <c r="O97"/>
      <c r="P97" s="109"/>
    </row>
    <row r="98" spans="2:17">
      <c r="B98"/>
      <c r="C98"/>
      <c r="D98"/>
      <c r="E98"/>
      <c r="F98"/>
      <c r="G98" s="293"/>
      <c r="H98"/>
      <c r="I98"/>
      <c r="J98"/>
      <c r="K98" s="263"/>
      <c r="L98"/>
      <c r="M98" s="82"/>
      <c r="N98"/>
      <c r="O98"/>
      <c r="P98" s="109"/>
    </row>
    <row r="99" spans="2:17">
      <c r="B99"/>
      <c r="C99"/>
      <c r="D99"/>
      <c r="E99"/>
      <c r="F99"/>
      <c r="G99" s="293"/>
      <c r="J99" s="62"/>
      <c r="K99" s="63"/>
      <c r="M99" s="63"/>
      <c r="N99" s="62"/>
      <c r="P99" s="109"/>
    </row>
    <row r="100" spans="2:17">
      <c r="B100"/>
      <c r="C100"/>
      <c r="D100"/>
      <c r="E100"/>
      <c r="F100"/>
      <c r="G100" s="293"/>
      <c r="J100" s="62"/>
      <c r="K100" s="63"/>
      <c r="M100" s="63"/>
      <c r="N100" s="62"/>
    </row>
    <row r="101" spans="2:17">
      <c r="B101"/>
      <c r="C101"/>
      <c r="D101"/>
      <c r="E101"/>
      <c r="F101"/>
      <c r="G101" s="293"/>
      <c r="J101" s="62"/>
      <c r="K101" s="63"/>
      <c r="M101" s="63"/>
      <c r="N101" s="62"/>
    </row>
    <row r="102" spans="2:17">
      <c r="B102"/>
      <c r="C102"/>
      <c r="D102"/>
      <c r="E102"/>
      <c r="F102"/>
      <c r="G102"/>
      <c r="J102" s="62"/>
      <c r="K102" s="63"/>
      <c r="M102" s="63"/>
      <c r="N102" s="62"/>
    </row>
    <row r="103" spans="2:17">
      <c r="B103"/>
      <c r="C103"/>
      <c r="D103"/>
      <c r="E103"/>
      <c r="F103"/>
      <c r="G103"/>
      <c r="J103" s="62"/>
      <c r="K103" s="63"/>
      <c r="M103" s="63"/>
      <c r="N103" s="62"/>
    </row>
    <row r="104" spans="2:17">
      <c r="B104"/>
      <c r="C104"/>
      <c r="D104"/>
      <c r="E104"/>
      <c r="F104"/>
      <c r="G104"/>
      <c r="J104" s="62"/>
      <c r="K104" s="63"/>
      <c r="M104" s="63"/>
      <c r="N104" s="62"/>
    </row>
    <row r="105" spans="2:17">
      <c r="B105"/>
      <c r="C105"/>
      <c r="D105"/>
      <c r="E105"/>
      <c r="F105"/>
      <c r="G105"/>
      <c r="J105" s="62"/>
      <c r="K105" s="63"/>
      <c r="L105" s="63"/>
      <c r="M105" s="63"/>
      <c r="N105" s="62"/>
    </row>
    <row r="106" spans="2:17">
      <c r="B106"/>
      <c r="C106"/>
      <c r="D106"/>
      <c r="E106"/>
      <c r="F106"/>
      <c r="G106"/>
      <c r="J106" s="62"/>
      <c r="K106" s="63"/>
      <c r="L106" s="63"/>
      <c r="M106" s="63"/>
      <c r="N106" s="62"/>
    </row>
    <row r="107" spans="2:17">
      <c r="B107"/>
      <c r="C107"/>
      <c r="D107"/>
      <c r="G107"/>
      <c r="H107" s="1" t="s">
        <v>130</v>
      </c>
      <c r="J107" s="62"/>
      <c r="K107" s="63"/>
      <c r="L107" s="63"/>
      <c r="M107" s="63"/>
    </row>
    <row r="108" spans="2:17" ht="13.5" thickBot="1">
      <c r="G108"/>
      <c r="J108" s="62"/>
      <c r="K108" s="63"/>
      <c r="M108" s="295" t="s">
        <v>111</v>
      </c>
    </row>
    <row r="109" spans="2:17" ht="16.5" thickBot="1">
      <c r="G109"/>
      <c r="H109" s="12" t="s">
        <v>41</v>
      </c>
      <c r="J109" s="13"/>
      <c r="K109" s="4"/>
      <c r="L109" s="13"/>
      <c r="M109" s="4"/>
      <c r="N109" s="5"/>
      <c r="P109" s="108"/>
      <c r="Q109" s="94"/>
    </row>
    <row r="110" spans="2:17">
      <c r="G110"/>
      <c r="H110" s="18" t="s">
        <v>42</v>
      </c>
      <c r="J110" s="13"/>
      <c r="K110" s="4"/>
      <c r="L110" s="13"/>
      <c r="M110" s="4"/>
      <c r="N110" s="5"/>
      <c r="O110" s="61"/>
    </row>
    <row r="111" spans="2:17">
      <c r="G111"/>
      <c r="H111" s="22" t="s">
        <v>43</v>
      </c>
      <c r="I111" s="1" t="s">
        <v>9</v>
      </c>
      <c r="J111" s="23">
        <f>+D23</f>
        <v>38048759</v>
      </c>
      <c r="K111" s="119">
        <f>ROUND(J111/J112,4)*100</f>
        <v>6.5699999999999994</v>
      </c>
      <c r="L111" s="23">
        <f>+L39</f>
        <v>51000911</v>
      </c>
      <c r="M111" s="119">
        <v>4.75</v>
      </c>
      <c r="N111" s="39"/>
      <c r="O111" s="25">
        <f>ROUND((K111/M111)-1,4)</f>
        <v>0.38319999999999999</v>
      </c>
      <c r="P111" s="246">
        <f>ROUND((J111/L111)-1,4)</f>
        <v>-0.254</v>
      </c>
      <c r="Q111" s="93">
        <f>+J111-L111</f>
        <v>-12952152</v>
      </c>
    </row>
    <row r="112" spans="2:17">
      <c r="G112"/>
      <c r="H112" s="1" t="s">
        <v>95</v>
      </c>
      <c r="I112" s="1" t="s">
        <v>2</v>
      </c>
      <c r="J112" s="23">
        <f>+J40</f>
        <v>578807328</v>
      </c>
      <c r="K112" s="4"/>
      <c r="L112" s="23">
        <f>+L40</f>
        <v>578774125</v>
      </c>
      <c r="M112" s="4"/>
      <c r="N112" s="5"/>
      <c r="O112" s="25"/>
      <c r="P112" s="104">
        <f>ROUND((J112/L112)-1,4)</f>
        <v>1E-4</v>
      </c>
      <c r="Q112" s="93">
        <f>+L112-J112</f>
        <v>-33203</v>
      </c>
    </row>
    <row r="113" spans="7:17">
      <c r="G113"/>
      <c r="H113" s="18" t="s">
        <v>44</v>
      </c>
      <c r="J113" s="13"/>
      <c r="K113" s="4"/>
      <c r="L113" s="13"/>
      <c r="M113" s="4"/>
      <c r="N113" s="5"/>
      <c r="O113" s="61"/>
      <c r="P113" s="110"/>
      <c r="Q113" s="151"/>
    </row>
    <row r="114" spans="7:17">
      <c r="G114"/>
      <c r="H114" s="22" t="s">
        <v>43</v>
      </c>
      <c r="I114" s="1" t="s">
        <v>9</v>
      </c>
      <c r="J114" s="50">
        <f>+J111</f>
        <v>38048759</v>
      </c>
      <c r="K114" s="119">
        <f>ROUND(J114/J115,4)*100</f>
        <v>2.2200000000000002</v>
      </c>
      <c r="L114" s="50">
        <f>+L111</f>
        <v>51000911</v>
      </c>
      <c r="M114" s="119">
        <v>1.62</v>
      </c>
      <c r="N114" s="39"/>
      <c r="O114" s="25">
        <f>ROUND((K114/M114)-1,4)</f>
        <v>0.37040000000000001</v>
      </c>
      <c r="P114" s="104">
        <f>ROUND((J114/L114)-1,4)</f>
        <v>-0.254</v>
      </c>
      <c r="Q114" s="93">
        <f>+J114-L114</f>
        <v>-12952152</v>
      </c>
    </row>
    <row r="115" spans="7:17">
      <c r="G115"/>
      <c r="H115" s="1" t="s">
        <v>45</v>
      </c>
      <c r="I115" s="1" t="s">
        <v>2</v>
      </c>
      <c r="J115" s="23">
        <f>+J43</f>
        <v>1710751674</v>
      </c>
      <c r="K115" s="4"/>
      <c r="L115" s="23">
        <f>+L43</f>
        <v>1675964818</v>
      </c>
      <c r="M115" s="4"/>
      <c r="N115" s="55"/>
      <c r="O115" s="25"/>
      <c r="P115" s="104">
        <f>ROUND((J115/L115)-1,4)</f>
        <v>2.0799999999999999E-2</v>
      </c>
      <c r="Q115" s="93">
        <f>+J115-L115</f>
        <v>34786856</v>
      </c>
    </row>
    <row r="116" spans="7:17">
      <c r="G116"/>
      <c r="H116" s="18" t="s">
        <v>46</v>
      </c>
      <c r="J116" s="13"/>
      <c r="K116" s="4"/>
      <c r="L116" s="13"/>
      <c r="M116" s="4"/>
      <c r="N116" s="5"/>
      <c r="P116" s="111"/>
    </row>
    <row r="117" spans="7:17">
      <c r="G117"/>
      <c r="H117" s="22" t="s">
        <v>47</v>
      </c>
      <c r="I117" s="1" t="s">
        <v>9</v>
      </c>
      <c r="J117" s="23">
        <f>+J114*1000</f>
        <v>38048759000</v>
      </c>
      <c r="K117" s="84">
        <f>ROUND(J117/J118,2)</f>
        <v>38.049999999999997</v>
      </c>
      <c r="L117" s="23">
        <f>+L111*1000</f>
        <v>51000911000</v>
      </c>
      <c r="M117" s="84">
        <v>27.04</v>
      </c>
      <c r="N117" s="56"/>
      <c r="O117" s="25">
        <f>ROUND((K117/M117)-1,4)</f>
        <v>0.40720000000000001</v>
      </c>
      <c r="P117" s="104">
        <f>ROUND((J117/L117)-1,4)</f>
        <v>-0.254</v>
      </c>
    </row>
    <row r="118" spans="7:17">
      <c r="G118"/>
      <c r="H118" s="1" t="s">
        <v>48</v>
      </c>
      <c r="J118" s="23">
        <f>+J46</f>
        <v>1000000000</v>
      </c>
      <c r="K118" s="4"/>
      <c r="L118" s="23">
        <f>+L46</f>
        <v>1000000000</v>
      </c>
      <c r="M118" s="4"/>
      <c r="N118" s="5"/>
      <c r="P118" s="104">
        <f>ROUND((J118/L118)-1,4)</f>
        <v>0</v>
      </c>
    </row>
    <row r="119" spans="7:17">
      <c r="G119"/>
      <c r="H119" s="18" t="s">
        <v>49</v>
      </c>
      <c r="J119" s="13"/>
      <c r="K119" s="4"/>
      <c r="L119" s="57" t="s">
        <v>2</v>
      </c>
      <c r="M119" s="4"/>
      <c r="N119" s="5"/>
      <c r="O119" s="61"/>
    </row>
    <row r="120" spans="7:17">
      <c r="G120"/>
      <c r="H120" s="18"/>
      <c r="J120" s="13"/>
      <c r="K120" s="4"/>
      <c r="L120" s="57"/>
      <c r="M120" s="4"/>
      <c r="N120" s="5"/>
      <c r="O120" s="61"/>
    </row>
    <row r="121" spans="7:17">
      <c r="G121"/>
      <c r="H121" s="22" t="s">
        <v>50</v>
      </c>
      <c r="I121" s="1" t="s">
        <v>9</v>
      </c>
      <c r="J121" s="294">
        <f>+J49</f>
        <v>51.0015</v>
      </c>
      <c r="K121" s="119">
        <f>ROUND(J121/J122,4)*100</f>
        <v>7.13</v>
      </c>
      <c r="L121" s="294">
        <f>+L49</f>
        <v>61.022500000000001</v>
      </c>
      <c r="M121" s="119">
        <f>ROUND(L121/L122,4)*100</f>
        <v>8</v>
      </c>
      <c r="N121" s="46"/>
      <c r="O121" s="25">
        <f>ROUND((K121/M121)-1,4)</f>
        <v>-0.10879999999999999</v>
      </c>
      <c r="P121" s="104">
        <f>ROUND((J121/L121)-1,4)</f>
        <v>-0.16420000000000001</v>
      </c>
    </row>
    <row r="122" spans="7:17">
      <c r="G122"/>
      <c r="H122" s="1" t="s">
        <v>51</v>
      </c>
      <c r="J122" s="23">
        <f>+J50</f>
        <v>715.09</v>
      </c>
      <c r="K122" s="43" t="s">
        <v>2</v>
      </c>
      <c r="L122" s="43">
        <v>763</v>
      </c>
      <c r="M122" s="43" t="s">
        <v>2</v>
      </c>
      <c r="N122" s="59"/>
      <c r="O122" s="25"/>
      <c r="P122" s="104">
        <f>ROUND((J122/L122)-1,4)</f>
        <v>-6.2799999999999995E-2</v>
      </c>
    </row>
    <row r="123" spans="7:17">
      <c r="G123"/>
      <c r="J123" s="62"/>
      <c r="K123" s="63"/>
      <c r="L123" s="63"/>
      <c r="M123" s="63"/>
    </row>
    <row r="124" spans="7:17">
      <c r="J124" s="62"/>
      <c r="K124" s="63"/>
      <c r="L124" s="63"/>
      <c r="M124" s="63"/>
    </row>
    <row r="125" spans="7:17">
      <c r="J125" s="62"/>
      <c r="K125" s="63"/>
      <c r="L125" s="63"/>
      <c r="M125" s="63"/>
    </row>
    <row r="126" spans="7:17">
      <c r="J126" s="62"/>
      <c r="K126" s="63"/>
      <c r="L126" s="63"/>
      <c r="M126" s="63"/>
    </row>
    <row r="127" spans="7:17">
      <c r="J127" s="62"/>
      <c r="K127" s="63"/>
      <c r="L127" s="63"/>
      <c r="M127" s="63"/>
    </row>
    <row r="128" spans="7:17">
      <c r="J128" s="62"/>
      <c r="K128" s="63"/>
      <c r="L128" s="63"/>
      <c r="M128" s="63"/>
    </row>
    <row r="129" spans="10:13">
      <c r="J129" s="62"/>
      <c r="K129" s="63"/>
      <c r="M129" s="63"/>
    </row>
    <row r="130" spans="10:13">
      <c r="J130" s="62"/>
      <c r="K130" s="63"/>
      <c r="M130" s="63"/>
    </row>
    <row r="131" spans="10:13">
      <c r="J131" s="62"/>
      <c r="K131" s="63"/>
      <c r="M131" s="63"/>
    </row>
    <row r="132" spans="10:13">
      <c r="J132" s="62"/>
      <c r="K132" s="63"/>
      <c r="M132" s="63"/>
    </row>
    <row r="133" spans="10:13">
      <c r="J133" s="62"/>
      <c r="K133" s="63"/>
      <c r="M133" s="63"/>
    </row>
    <row r="134" spans="10:13">
      <c r="J134" s="62"/>
      <c r="K134" s="63"/>
      <c r="M134" s="63"/>
    </row>
    <row r="135" spans="10:13">
      <c r="J135" s="62"/>
      <c r="K135" s="63"/>
      <c r="M135" s="63"/>
    </row>
    <row r="136" spans="10:13">
      <c r="J136" s="62"/>
      <c r="K136" s="63"/>
      <c r="M136" s="63"/>
    </row>
    <row r="137" spans="10:13">
      <c r="J137" s="62"/>
      <c r="K137" s="63"/>
      <c r="M137" s="63"/>
    </row>
    <row r="138" spans="10:13">
      <c r="J138" s="62"/>
      <c r="K138" s="63"/>
      <c r="M138" s="63"/>
    </row>
    <row r="139" spans="10:13">
      <c r="J139" s="62"/>
      <c r="K139" s="63"/>
      <c r="M139" s="63"/>
    </row>
    <row r="140" spans="10:13">
      <c r="J140" s="62"/>
      <c r="K140" s="63"/>
      <c r="M140" s="63"/>
    </row>
    <row r="141" spans="10:13">
      <c r="J141" s="62"/>
      <c r="K141" s="63"/>
      <c r="M141" s="63"/>
    </row>
    <row r="142" spans="10:13">
      <c r="J142" s="62"/>
      <c r="K142" s="63"/>
      <c r="M142" s="63"/>
    </row>
    <row r="143" spans="10:13">
      <c r="J143" s="62"/>
      <c r="K143" s="63"/>
      <c r="M143" s="63"/>
    </row>
    <row r="144" spans="10:13">
      <c r="J144" s="62"/>
      <c r="K144" s="63"/>
      <c r="M144" s="63"/>
    </row>
    <row r="145" spans="10:13">
      <c r="J145" s="62"/>
      <c r="K145" s="63"/>
      <c r="M145" s="63"/>
    </row>
    <row r="146" spans="10:13">
      <c r="J146" s="62"/>
      <c r="K146" s="63"/>
      <c r="M146" s="63"/>
    </row>
    <row r="147" spans="10:13">
      <c r="J147" s="25"/>
      <c r="K147" s="63"/>
      <c r="M147" s="63"/>
    </row>
    <row r="148" spans="10:13">
      <c r="J148" s="62"/>
      <c r="K148" s="63"/>
      <c r="M148" s="63"/>
    </row>
    <row r="149" spans="10:13">
      <c r="J149" s="62"/>
      <c r="K149" s="63"/>
      <c r="M149" s="63"/>
    </row>
    <row r="150" spans="10:13">
      <c r="J150" s="62"/>
      <c r="K150" s="63"/>
      <c r="M150" s="63"/>
    </row>
    <row r="151" spans="10:13">
      <c r="J151" s="62"/>
      <c r="K151" s="63"/>
      <c r="M151" s="63"/>
    </row>
    <row r="152" spans="10:13">
      <c r="J152" s="62"/>
      <c r="K152" s="63"/>
      <c r="L152" s="61"/>
      <c r="M152" s="63"/>
    </row>
    <row r="153" spans="10:13">
      <c r="J153" s="62"/>
      <c r="K153" s="63"/>
      <c r="L153" s="61"/>
      <c r="M153" s="63"/>
    </row>
    <row r="154" spans="10:13">
      <c r="J154" s="62"/>
      <c r="K154" s="63"/>
      <c r="L154" s="61"/>
      <c r="M154" s="63"/>
    </row>
    <row r="155" spans="10:13">
      <c r="J155" s="62"/>
      <c r="K155" s="63"/>
      <c r="L155" s="61"/>
      <c r="M155" s="63"/>
    </row>
    <row r="156" spans="10:13">
      <c r="J156" s="62"/>
      <c r="K156" s="63"/>
      <c r="L156" s="61"/>
      <c r="M156" s="63"/>
    </row>
    <row r="157" spans="10:13">
      <c r="J157" s="62"/>
      <c r="K157" s="63"/>
      <c r="L157" s="61"/>
      <c r="M157" s="63"/>
    </row>
    <row r="158" spans="10:13">
      <c r="J158" s="62"/>
      <c r="K158" s="63"/>
      <c r="L158" s="61"/>
      <c r="M158" s="63"/>
    </row>
    <row r="159" spans="10:13">
      <c r="J159" s="62"/>
      <c r="K159" s="63"/>
      <c r="L159" s="61"/>
      <c r="M159" s="63"/>
    </row>
    <row r="160" spans="10:13">
      <c r="L160" s="61"/>
    </row>
    <row r="161" spans="12:12">
      <c r="L161" s="61"/>
    </row>
    <row r="162" spans="12:12">
      <c r="L162" s="61"/>
    </row>
    <row r="163" spans="12:12">
      <c r="L163" s="61"/>
    </row>
    <row r="164" spans="12:12">
      <c r="L164" s="61"/>
    </row>
    <row r="183" spans="10:13">
      <c r="L183" s="64"/>
    </row>
    <row r="185" spans="10:13">
      <c r="J185" s="62"/>
      <c r="K185" s="63"/>
      <c r="L185" s="63"/>
      <c r="M185" s="62"/>
    </row>
    <row r="186" spans="10:13">
      <c r="J186" s="62"/>
      <c r="K186" s="63"/>
      <c r="L186" s="63"/>
      <c r="M186" s="62"/>
    </row>
    <row r="187" spans="10:13">
      <c r="J187" s="62"/>
      <c r="K187" s="63"/>
      <c r="L187" s="63"/>
      <c r="M187" s="62"/>
    </row>
    <row r="188" spans="10:13">
      <c r="J188" s="62"/>
      <c r="K188" s="63"/>
      <c r="L188" s="63"/>
      <c r="M188" s="62"/>
    </row>
    <row r="189" spans="10:13">
      <c r="J189" s="62"/>
      <c r="K189" s="63"/>
      <c r="L189" s="63"/>
      <c r="M189" s="62"/>
    </row>
    <row r="190" spans="10:13">
      <c r="J190" s="62"/>
      <c r="K190" s="63"/>
      <c r="L190" s="63"/>
      <c r="M190" s="62"/>
    </row>
    <row r="191" spans="10:13">
      <c r="J191" s="62"/>
      <c r="K191" s="63"/>
      <c r="L191" s="63"/>
      <c r="M191" s="62"/>
    </row>
    <row r="192" spans="10:13">
      <c r="J192" s="62"/>
      <c r="K192" s="63"/>
      <c r="L192" s="63"/>
      <c r="M192" s="62"/>
    </row>
    <row r="193" spans="10:13">
      <c r="J193" s="62"/>
      <c r="K193" s="63"/>
      <c r="L193" s="63"/>
      <c r="M193" s="62"/>
    </row>
    <row r="194" spans="10:13">
      <c r="J194" s="62"/>
      <c r="K194" s="63"/>
      <c r="L194" s="63"/>
      <c r="M194" s="62"/>
    </row>
    <row r="195" spans="10:13">
      <c r="J195" s="62"/>
      <c r="K195" s="63"/>
      <c r="M195" s="62"/>
    </row>
    <row r="196" spans="10:13">
      <c r="J196" s="62"/>
      <c r="K196" s="63"/>
      <c r="M196" s="62"/>
    </row>
    <row r="197" spans="10:13">
      <c r="J197" s="62"/>
      <c r="K197" s="63"/>
      <c r="M197" s="62"/>
    </row>
    <row r="198" spans="10:13">
      <c r="J198" s="62"/>
      <c r="K198" s="63"/>
      <c r="M198" s="62"/>
    </row>
    <row r="199" spans="10:13">
      <c r="J199" s="62"/>
      <c r="K199" s="63"/>
      <c r="M199" s="62"/>
    </row>
    <row r="200" spans="10:13">
      <c r="J200" s="62"/>
      <c r="K200" s="63"/>
      <c r="M200" s="62"/>
    </row>
    <row r="201" spans="10:13">
      <c r="J201" s="62"/>
      <c r="K201" s="63"/>
      <c r="M201" s="62"/>
    </row>
    <row r="202" spans="10:13">
      <c r="J202" s="62"/>
      <c r="K202" s="63"/>
      <c r="M202" s="62"/>
    </row>
    <row r="203" spans="10:13">
      <c r="J203" s="62"/>
      <c r="K203" s="63"/>
      <c r="M203" s="62"/>
    </row>
  </sheetData>
  <mergeCells count="4">
    <mergeCell ref="B80:G80"/>
    <mergeCell ref="B82:G82"/>
    <mergeCell ref="B86:G86"/>
    <mergeCell ref="B89:G89"/>
  </mergeCells>
  <phoneticPr fontId="0" type="noConversion"/>
  <printOptions horizontalCentered="1" verticalCentered="1"/>
  <pageMargins left="0.75" right="0.75" top="0.39370078740157483" bottom="0.19685039370078741" header="0" footer="0"/>
  <pageSetup scale="60" orientation="portrait" r:id="rId1"/>
  <headerFooter alignWithMargins="0">
    <oddFooter>&amp;R&amp;D  -  &amp;T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X42"/>
  <sheetViews>
    <sheetView showGridLines="0" tabSelected="1" topLeftCell="AL2" workbookViewId="0">
      <selection activeCell="AS11" sqref="AS11"/>
    </sheetView>
  </sheetViews>
  <sheetFormatPr baseColWidth="10" defaultRowHeight="12.75"/>
  <cols>
    <col min="1" max="1" width="49" style="157" bestFit="1" customWidth="1"/>
    <col min="2" max="4" width="13.7109375" style="157" customWidth="1"/>
    <col min="5" max="5" width="15" style="157" customWidth="1"/>
    <col min="6" max="6" width="8" style="157" bestFit="1" customWidth="1"/>
    <col min="7" max="7" width="48" style="157" customWidth="1"/>
    <col min="8" max="8" width="8.140625" style="158" customWidth="1"/>
    <col min="9" max="10" width="14" style="157" customWidth="1"/>
    <col min="11" max="11" width="18.140625" style="157" customWidth="1"/>
    <col min="12" max="12" width="6" style="157" customWidth="1"/>
    <col min="13" max="13" width="57.7109375" style="157" bestFit="1" customWidth="1"/>
    <col min="14" max="15" width="13.7109375" style="157" customWidth="1"/>
    <col min="16" max="16" width="16.28515625" style="157" customWidth="1"/>
    <col min="17" max="17" width="11.42578125" style="157"/>
    <col min="18" max="18" width="25" style="157" customWidth="1"/>
    <col min="19" max="24" width="10.7109375" style="157" customWidth="1"/>
    <col min="25" max="26" width="11.42578125" style="157"/>
    <col min="27" max="27" width="60.42578125" style="157" bestFit="1" customWidth="1"/>
    <col min="28" max="30" width="13.7109375" style="157" customWidth="1"/>
    <col min="31" max="31" width="16.7109375" style="157" customWidth="1"/>
    <col min="32" max="32" width="12.28515625" style="157" bestFit="1" customWidth="1"/>
    <col min="33" max="33" width="41.5703125" style="157" bestFit="1" customWidth="1"/>
    <col min="34" max="35" width="11.42578125" style="157"/>
    <col min="36" max="37" width="12.7109375" style="157" customWidth="1"/>
    <col min="38" max="38" width="11.42578125" style="157"/>
    <col min="39" max="39" width="39.28515625" style="157" customWidth="1"/>
    <col min="40" max="40" width="17.140625" style="157" customWidth="1"/>
    <col min="41" max="41" width="11.42578125" style="157"/>
    <col min="42" max="42" width="37.42578125" style="157" customWidth="1"/>
    <col min="43" max="44" width="11.7109375" style="157" customWidth="1"/>
    <col min="45" max="45" width="16" style="157" customWidth="1"/>
    <col min="46" max="46" width="11.42578125" style="157"/>
    <col min="47" max="47" width="36" style="157" customWidth="1"/>
    <col min="48" max="49" width="12.7109375" style="157" customWidth="1"/>
    <col min="50" max="50" width="15.5703125" style="157" customWidth="1"/>
    <col min="51" max="16384" width="11.42578125" style="157"/>
  </cols>
  <sheetData>
    <row r="1" spans="1:50" ht="27" customHeight="1"/>
    <row r="2" spans="1:50" ht="17.25" customHeight="1"/>
    <row r="3" spans="1:50" ht="14.25" customHeight="1">
      <c r="H3" s="157"/>
    </row>
    <row r="4" spans="1:50" ht="14.25" customHeight="1">
      <c r="H4" s="157"/>
    </row>
    <row r="5" spans="1:50" ht="14.25" customHeight="1">
      <c r="A5" s="160" t="s">
        <v>147</v>
      </c>
      <c r="G5" s="160" t="s">
        <v>159</v>
      </c>
      <c r="M5" s="160" t="s">
        <v>173</v>
      </c>
      <c r="AP5" s="162"/>
    </row>
    <row r="6" spans="1:50">
      <c r="A6" s="163"/>
      <c r="E6" s="164"/>
    </row>
    <row r="7" spans="1:50" ht="13.5" thickBot="1">
      <c r="A7" s="163"/>
      <c r="E7" s="165"/>
    </row>
    <row r="8" spans="1:50" ht="44.25" customHeight="1" thickBot="1">
      <c r="A8" s="309" t="s">
        <v>148</v>
      </c>
      <c r="B8" s="166" t="s">
        <v>141</v>
      </c>
      <c r="C8" s="166" t="s">
        <v>143</v>
      </c>
      <c r="D8" s="339" t="s">
        <v>144</v>
      </c>
      <c r="E8" s="340"/>
      <c r="G8" s="310" t="s">
        <v>159</v>
      </c>
      <c r="H8" s="313"/>
      <c r="I8" s="166" t="s">
        <v>141</v>
      </c>
      <c r="J8" s="166" t="s">
        <v>143</v>
      </c>
      <c r="K8" s="167" t="s">
        <v>145</v>
      </c>
      <c r="M8" s="314" t="s">
        <v>174</v>
      </c>
      <c r="N8" s="166" t="s">
        <v>141</v>
      </c>
      <c r="O8" s="244" t="s">
        <v>142</v>
      </c>
      <c r="P8" s="167" t="s">
        <v>145</v>
      </c>
      <c r="R8" s="168" t="s">
        <v>181</v>
      </c>
      <c r="S8" s="341" t="s">
        <v>141</v>
      </c>
      <c r="T8" s="341"/>
      <c r="U8" s="342" t="s">
        <v>142</v>
      </c>
      <c r="V8" s="341"/>
      <c r="W8" s="342" t="s">
        <v>145</v>
      </c>
      <c r="X8" s="340"/>
      <c r="AA8" s="169" t="s">
        <v>187</v>
      </c>
      <c r="AB8" s="166" t="s">
        <v>141</v>
      </c>
      <c r="AC8" s="166" t="s">
        <v>142</v>
      </c>
      <c r="AD8" s="339" t="s">
        <v>144</v>
      </c>
      <c r="AE8" s="340"/>
      <c r="AG8" s="316" t="s">
        <v>205</v>
      </c>
      <c r="AH8" s="287" t="s">
        <v>141</v>
      </c>
      <c r="AI8" s="287" t="s">
        <v>142</v>
      </c>
      <c r="AJ8" s="333" t="s">
        <v>146</v>
      </c>
      <c r="AK8" s="334"/>
      <c r="AM8" s="248" t="s">
        <v>208</v>
      </c>
      <c r="AN8" s="249" t="s">
        <v>140</v>
      </c>
      <c r="AP8" s="320" t="s">
        <v>213</v>
      </c>
      <c r="AQ8" s="170" t="s">
        <v>141</v>
      </c>
      <c r="AR8" s="170" t="s">
        <v>142</v>
      </c>
      <c r="AS8" s="296" t="s">
        <v>146</v>
      </c>
      <c r="AU8" s="321" t="s">
        <v>217</v>
      </c>
      <c r="AV8" s="297" t="s">
        <v>141</v>
      </c>
      <c r="AW8" s="170" t="s">
        <v>142</v>
      </c>
      <c r="AX8" s="298" t="s">
        <v>146</v>
      </c>
    </row>
    <row r="9" spans="1:50" ht="22.5" customHeight="1">
      <c r="A9" s="171"/>
      <c r="B9" s="335" t="s">
        <v>138</v>
      </c>
      <c r="C9" s="335" t="s">
        <v>138</v>
      </c>
      <c r="D9" s="335" t="s">
        <v>138</v>
      </c>
      <c r="E9" s="337" t="s">
        <v>72</v>
      </c>
      <c r="G9" s="117"/>
      <c r="H9" s="172"/>
      <c r="I9" s="173"/>
      <c r="J9" s="173"/>
      <c r="K9" s="174"/>
      <c r="M9" s="175"/>
      <c r="N9" s="176" t="s">
        <v>138</v>
      </c>
      <c r="O9" s="176" t="s">
        <v>138</v>
      </c>
      <c r="P9" s="177" t="s">
        <v>72</v>
      </c>
      <c r="R9" s="175"/>
      <c r="S9" s="178" t="s">
        <v>139</v>
      </c>
      <c r="T9" s="179" t="s">
        <v>93</v>
      </c>
      <c r="U9" s="178" t="s">
        <v>139</v>
      </c>
      <c r="V9" s="179" t="s">
        <v>93</v>
      </c>
      <c r="W9" s="178" t="s">
        <v>139</v>
      </c>
      <c r="X9" s="180" t="s">
        <v>72</v>
      </c>
      <c r="AA9" s="175"/>
      <c r="AB9" s="176" t="s">
        <v>138</v>
      </c>
      <c r="AC9" s="176" t="s">
        <v>138</v>
      </c>
      <c r="AD9" s="176" t="s">
        <v>138</v>
      </c>
      <c r="AE9" s="177" t="s">
        <v>72</v>
      </c>
      <c r="AG9" s="317" t="s">
        <v>206</v>
      </c>
      <c r="AH9" s="245" t="s">
        <v>138</v>
      </c>
      <c r="AI9" s="245" t="s">
        <v>138</v>
      </c>
      <c r="AJ9" s="288" t="s">
        <v>138</v>
      </c>
      <c r="AK9" s="289" t="s">
        <v>72</v>
      </c>
      <c r="AM9" s="318" t="s">
        <v>209</v>
      </c>
      <c r="AN9" s="186">
        <v>20336</v>
      </c>
      <c r="AP9" s="117"/>
      <c r="AQ9" s="173"/>
      <c r="AR9" s="173"/>
      <c r="AS9" s="174"/>
      <c r="AU9" s="181" t="s">
        <v>2</v>
      </c>
      <c r="AV9" s="132"/>
      <c r="AW9" s="132"/>
      <c r="AX9" s="182"/>
    </row>
    <row r="10" spans="1:50" ht="22.5" customHeight="1">
      <c r="A10" s="183"/>
      <c r="B10" s="336"/>
      <c r="C10" s="336"/>
      <c r="D10" s="336"/>
      <c r="E10" s="338"/>
      <c r="G10" s="181" t="s">
        <v>218</v>
      </c>
      <c r="H10" s="172"/>
      <c r="I10" s="173"/>
      <c r="J10" s="173"/>
      <c r="K10" s="184"/>
      <c r="M10" s="117"/>
      <c r="N10" s="185"/>
      <c r="O10" s="185"/>
      <c r="P10" s="174"/>
      <c r="R10" s="117"/>
      <c r="S10" s="185"/>
      <c r="T10" s="185"/>
      <c r="U10" s="185"/>
      <c r="V10" s="185"/>
      <c r="W10" s="173"/>
      <c r="X10" s="174"/>
      <c r="AA10" s="117"/>
      <c r="AB10" s="173"/>
      <c r="AC10" s="173"/>
      <c r="AD10" s="173"/>
      <c r="AE10" s="174"/>
      <c r="AG10" s="229" t="s">
        <v>207</v>
      </c>
      <c r="AH10" s="230">
        <v>13937</v>
      </c>
      <c r="AI10" s="231">
        <v>11735</v>
      </c>
      <c r="AJ10" s="232">
        <v>2202</v>
      </c>
      <c r="AK10" s="233">
        <v>0.18764380059650618</v>
      </c>
      <c r="AM10" s="318" t="s">
        <v>210</v>
      </c>
      <c r="AN10" s="186">
        <v>40904</v>
      </c>
      <c r="AP10" s="187" t="s">
        <v>182</v>
      </c>
      <c r="AQ10" s="132">
        <v>392437</v>
      </c>
      <c r="AR10" s="132">
        <v>385889</v>
      </c>
      <c r="AS10" s="188">
        <v>1.7000000000000001E-2</v>
      </c>
      <c r="AU10" s="189" t="s">
        <v>182</v>
      </c>
      <c r="AV10" s="132">
        <v>1937138</v>
      </c>
      <c r="AW10" s="132">
        <v>1899623</v>
      </c>
      <c r="AX10" s="188">
        <v>2.01E-2</v>
      </c>
    </row>
    <row r="11" spans="1:50" ht="22.5" customHeight="1">
      <c r="A11" s="117" t="s">
        <v>149</v>
      </c>
      <c r="B11" s="190">
        <v>79686</v>
      </c>
      <c r="C11" s="190">
        <v>77309</v>
      </c>
      <c r="D11" s="190">
        <v>2377</v>
      </c>
      <c r="E11" s="188">
        <v>3.1E-2</v>
      </c>
      <c r="F11" s="165"/>
      <c r="G11" s="311" t="s">
        <v>160</v>
      </c>
      <c r="H11" s="172" t="s">
        <v>172</v>
      </c>
      <c r="I11" s="191">
        <v>0.53</v>
      </c>
      <c r="J11" s="191">
        <v>0.83</v>
      </c>
      <c r="K11" s="188">
        <v>-0.36099999999999999</v>
      </c>
      <c r="M11" s="189" t="s">
        <v>175</v>
      </c>
      <c r="N11" s="192">
        <v>137890</v>
      </c>
      <c r="O11" s="192">
        <v>128158</v>
      </c>
      <c r="P11" s="188">
        <v>7.5999999999999998E-2</v>
      </c>
      <c r="Q11" s="193"/>
      <c r="R11" s="189" t="s">
        <v>182</v>
      </c>
      <c r="S11" s="194">
        <v>108214</v>
      </c>
      <c r="T11" s="195">
        <v>0.41399999999999998</v>
      </c>
      <c r="U11" s="194">
        <v>102033</v>
      </c>
      <c r="V11" s="195">
        <v>0.42799999999999999</v>
      </c>
      <c r="W11" s="194">
        <v>6181</v>
      </c>
      <c r="X11" s="188">
        <v>6.0999999999999999E-2</v>
      </c>
      <c r="AA11" s="117" t="s">
        <v>188</v>
      </c>
      <c r="AB11" s="132">
        <v>261388</v>
      </c>
      <c r="AC11" s="132">
        <v>238370</v>
      </c>
      <c r="AD11" s="132">
        <v>23018</v>
      </c>
      <c r="AE11" s="188">
        <v>9.7000000000000003E-2</v>
      </c>
      <c r="AF11" s="196"/>
      <c r="AG11" s="117" t="s">
        <v>107</v>
      </c>
      <c r="AH11" s="234">
        <v>7137</v>
      </c>
      <c r="AI11" s="235">
        <v>5989</v>
      </c>
      <c r="AJ11" s="236">
        <v>1148</v>
      </c>
      <c r="AK11" s="237">
        <v>0.19168475538487226</v>
      </c>
      <c r="AM11" s="318" t="s">
        <v>211</v>
      </c>
      <c r="AN11" s="186">
        <v>2601</v>
      </c>
      <c r="AP11" s="187" t="s">
        <v>214</v>
      </c>
      <c r="AQ11" s="132">
        <v>382239</v>
      </c>
      <c r="AR11" s="132">
        <v>376410</v>
      </c>
      <c r="AS11" s="188">
        <v>1.6E-2</v>
      </c>
      <c r="AU11" s="189" t="s">
        <v>214</v>
      </c>
      <c r="AV11" s="132">
        <v>1895241</v>
      </c>
      <c r="AW11" s="132">
        <v>1855915</v>
      </c>
      <c r="AX11" s="188">
        <v>2.1000000000000001E-2</v>
      </c>
    </row>
    <row r="12" spans="1:50" ht="22.5" customHeight="1" thickBot="1">
      <c r="A12" s="117" t="s">
        <v>150</v>
      </c>
      <c r="B12" s="190">
        <v>1652253</v>
      </c>
      <c r="C12" s="190">
        <v>1602083</v>
      </c>
      <c r="D12" s="190">
        <v>50170</v>
      </c>
      <c r="E12" s="188">
        <v>3.1E-2</v>
      </c>
      <c r="F12" s="165"/>
      <c r="G12" s="311" t="s">
        <v>161</v>
      </c>
      <c r="H12" s="172" t="s">
        <v>172</v>
      </c>
      <c r="I12" s="191">
        <v>8.4000000000000005E-2</v>
      </c>
      <c r="J12" s="191">
        <v>0.08</v>
      </c>
      <c r="K12" s="188">
        <v>0</v>
      </c>
      <c r="M12" s="189" t="s">
        <v>176</v>
      </c>
      <c r="N12" s="192">
        <v>-84217</v>
      </c>
      <c r="O12" s="192">
        <v>-46544</v>
      </c>
      <c r="P12" s="188">
        <v>0.80900000000000005</v>
      </c>
      <c r="Q12" s="193"/>
      <c r="R12" s="189" t="s">
        <v>183</v>
      </c>
      <c r="S12" s="194">
        <v>120764</v>
      </c>
      <c r="T12" s="195">
        <v>0.46200000000000002</v>
      </c>
      <c r="U12" s="194">
        <v>108119</v>
      </c>
      <c r="V12" s="195">
        <v>0.45400000000000001</v>
      </c>
      <c r="W12" s="194">
        <v>12645</v>
      </c>
      <c r="X12" s="188">
        <v>0.11700000000000001</v>
      </c>
      <c r="AA12" s="117" t="s">
        <v>189</v>
      </c>
      <c r="AB12" s="132">
        <v>-19874</v>
      </c>
      <c r="AC12" s="132">
        <v>-16791</v>
      </c>
      <c r="AD12" s="132">
        <v>-3083</v>
      </c>
      <c r="AE12" s="188">
        <v>0.184</v>
      </c>
      <c r="AF12" s="196"/>
      <c r="AG12" s="117" t="s">
        <v>105</v>
      </c>
      <c r="AH12" s="234">
        <v>5602</v>
      </c>
      <c r="AI12" s="235">
        <v>4634</v>
      </c>
      <c r="AJ12" s="236">
        <v>968</v>
      </c>
      <c r="AK12" s="237">
        <v>0.20889080707811825</v>
      </c>
      <c r="AM12" s="319" t="s">
        <v>212</v>
      </c>
      <c r="AN12" s="197">
        <v>2825</v>
      </c>
      <c r="AP12" s="187" t="s">
        <v>215</v>
      </c>
      <c r="AQ12" s="132">
        <v>333508</v>
      </c>
      <c r="AR12" s="132">
        <v>328556</v>
      </c>
      <c r="AS12" s="188">
        <v>1.5100000000000001E-2</v>
      </c>
      <c r="AU12" s="199"/>
      <c r="AV12" s="200"/>
      <c r="AW12" s="200"/>
      <c r="AX12" s="201"/>
    </row>
    <row r="13" spans="1:50" ht="18" customHeight="1" thickBot="1">
      <c r="A13" s="202" t="s">
        <v>151</v>
      </c>
      <c r="B13" s="203">
        <v>1731939</v>
      </c>
      <c r="C13" s="203">
        <v>1679392</v>
      </c>
      <c r="D13" s="203">
        <v>52547</v>
      </c>
      <c r="E13" s="204">
        <v>3.1E-2</v>
      </c>
      <c r="G13" s="117"/>
      <c r="H13" s="172"/>
      <c r="I13" s="173"/>
      <c r="J13" s="173"/>
      <c r="K13" s="205"/>
      <c r="M13" s="189" t="s">
        <v>177</v>
      </c>
      <c r="N13" s="192">
        <v>-48505</v>
      </c>
      <c r="O13" s="192">
        <v>-70482</v>
      </c>
      <c r="P13" s="188">
        <v>-0.312</v>
      </c>
      <c r="Q13" s="193"/>
      <c r="R13" s="189" t="s">
        <v>184</v>
      </c>
      <c r="S13" s="194">
        <v>6143</v>
      </c>
      <c r="T13" s="195">
        <v>2.4E-2</v>
      </c>
      <c r="U13" s="194">
        <v>5473</v>
      </c>
      <c r="V13" s="195">
        <v>2.3E-2</v>
      </c>
      <c r="W13" s="194">
        <v>670</v>
      </c>
      <c r="X13" s="188">
        <v>0.122</v>
      </c>
      <c r="AA13" s="117" t="s">
        <v>190</v>
      </c>
      <c r="AB13" s="132">
        <v>-27597</v>
      </c>
      <c r="AC13" s="132">
        <v>-27429</v>
      </c>
      <c r="AD13" s="132">
        <v>-168</v>
      </c>
      <c r="AE13" s="188">
        <v>6.0000000000000001E-3</v>
      </c>
      <c r="AF13" s="196"/>
      <c r="AG13" s="161" t="s">
        <v>106</v>
      </c>
      <c r="AH13" s="238">
        <v>1198</v>
      </c>
      <c r="AI13" s="239">
        <v>1112</v>
      </c>
      <c r="AJ13" s="240">
        <v>86</v>
      </c>
      <c r="AK13" s="241">
        <v>7.7338129496402883E-2</v>
      </c>
      <c r="AP13" s="187" t="s">
        <v>216</v>
      </c>
      <c r="AQ13" s="132">
        <v>87862</v>
      </c>
      <c r="AR13" s="132">
        <v>86731</v>
      </c>
      <c r="AS13" s="188">
        <v>1.2999999999999999E-2</v>
      </c>
    </row>
    <row r="14" spans="1:50" ht="18" customHeight="1" thickBot="1">
      <c r="A14" s="117"/>
      <c r="B14" s="190"/>
      <c r="C14" s="190"/>
      <c r="D14" s="190"/>
      <c r="E14" s="206"/>
      <c r="G14" s="181" t="s">
        <v>162</v>
      </c>
      <c r="H14" s="172"/>
      <c r="I14" s="173"/>
      <c r="J14" s="173"/>
      <c r="K14" s="205"/>
      <c r="M14" s="189"/>
      <c r="N14" s="192"/>
      <c r="O14" s="192"/>
      <c r="P14" s="206"/>
      <c r="Q14" s="193"/>
      <c r="R14" s="189" t="s">
        <v>185</v>
      </c>
      <c r="S14" s="194">
        <v>26267</v>
      </c>
      <c r="T14" s="195">
        <v>0.1</v>
      </c>
      <c r="U14" s="194">
        <v>22745</v>
      </c>
      <c r="V14" s="195">
        <v>9.5000000000000001E-2</v>
      </c>
      <c r="W14" s="194">
        <v>3521</v>
      </c>
      <c r="X14" s="188">
        <v>0.155</v>
      </c>
      <c r="AA14" s="117" t="s">
        <v>191</v>
      </c>
      <c r="AB14" s="132">
        <v>-40087</v>
      </c>
      <c r="AC14" s="132">
        <v>-39847</v>
      </c>
      <c r="AD14" s="132">
        <v>-240</v>
      </c>
      <c r="AE14" s="188">
        <v>6.0000000000000001E-3</v>
      </c>
      <c r="AF14" s="196"/>
      <c r="AG14" s="198"/>
      <c r="AP14" s="207"/>
      <c r="AQ14" s="200"/>
      <c r="AR14" s="200"/>
      <c r="AS14" s="208"/>
    </row>
    <row r="15" spans="1:50" ht="30" customHeight="1">
      <c r="A15" s="117" t="s">
        <v>152</v>
      </c>
      <c r="B15" s="190">
        <v>151182</v>
      </c>
      <c r="C15" s="190">
        <v>93668</v>
      </c>
      <c r="D15" s="190">
        <v>57514</v>
      </c>
      <c r="E15" s="188">
        <v>0.61399999999999999</v>
      </c>
      <c r="F15" s="165"/>
      <c r="G15" s="311" t="s">
        <v>163</v>
      </c>
      <c r="H15" s="172" t="s">
        <v>72</v>
      </c>
      <c r="I15" s="191">
        <v>82.01</v>
      </c>
      <c r="J15" s="191">
        <v>77.59</v>
      </c>
      <c r="K15" s="188">
        <v>5.7000000000000002E-2</v>
      </c>
      <c r="M15" s="247" t="s">
        <v>178</v>
      </c>
      <c r="N15" s="243">
        <v>5168</v>
      </c>
      <c r="O15" s="243">
        <v>11132</v>
      </c>
      <c r="P15" s="218">
        <v>-0.53600000000000003</v>
      </c>
      <c r="Q15" s="193"/>
      <c r="R15" s="117"/>
      <c r="S15" s="192"/>
      <c r="T15" s="209"/>
      <c r="U15" s="192"/>
      <c r="V15" s="210"/>
      <c r="W15" s="211"/>
      <c r="X15" s="174"/>
      <c r="AA15" s="117" t="s">
        <v>192</v>
      </c>
      <c r="AB15" s="132">
        <v>-852</v>
      </c>
      <c r="AC15" s="132">
        <v>-1555</v>
      </c>
      <c r="AD15" s="132">
        <v>703</v>
      </c>
      <c r="AE15" s="188">
        <v>-0.45200000000000001</v>
      </c>
      <c r="AF15" s="196"/>
      <c r="AG15" s="198"/>
    </row>
    <row r="16" spans="1:50" ht="18" customHeight="1" thickBot="1">
      <c r="A16" s="117" t="s">
        <v>153</v>
      </c>
      <c r="B16" s="190">
        <v>629190</v>
      </c>
      <c r="C16" s="190">
        <v>640048</v>
      </c>
      <c r="D16" s="190">
        <v>-10858</v>
      </c>
      <c r="E16" s="188">
        <v>-1.7000000000000001E-2</v>
      </c>
      <c r="F16" s="165"/>
      <c r="G16" s="311" t="s">
        <v>164</v>
      </c>
      <c r="H16" s="172" t="s">
        <v>72</v>
      </c>
      <c r="I16" s="191">
        <v>19.37</v>
      </c>
      <c r="J16" s="191">
        <v>12.770000000000001</v>
      </c>
      <c r="K16" s="188">
        <v>0.51700000000000002</v>
      </c>
      <c r="M16" s="189"/>
      <c r="P16" s="188"/>
      <c r="Q16" s="193"/>
      <c r="R16" s="212" t="s">
        <v>186</v>
      </c>
      <c r="S16" s="213">
        <v>261388</v>
      </c>
      <c r="T16" s="214">
        <v>1</v>
      </c>
      <c r="U16" s="213">
        <v>238370</v>
      </c>
      <c r="V16" s="214">
        <v>1</v>
      </c>
      <c r="W16" s="213">
        <v>23017</v>
      </c>
      <c r="X16" s="215">
        <v>9.7000000000000003E-2</v>
      </c>
      <c r="AA16" s="117" t="s">
        <v>193</v>
      </c>
      <c r="AB16" s="132">
        <v>-53485</v>
      </c>
      <c r="AC16" s="132">
        <v>-45567</v>
      </c>
      <c r="AD16" s="132">
        <v>-7918</v>
      </c>
      <c r="AE16" s="188">
        <v>0.17399999999999999</v>
      </c>
      <c r="AF16" s="196"/>
      <c r="AG16" s="198"/>
    </row>
    <row r="17" spans="1:48" ht="18" customHeight="1">
      <c r="A17" s="159" t="s">
        <v>154</v>
      </c>
      <c r="B17" s="203">
        <v>780372</v>
      </c>
      <c r="C17" s="203">
        <v>733716</v>
      </c>
      <c r="D17" s="203">
        <v>46656</v>
      </c>
      <c r="E17" s="204">
        <v>6.4000000000000001E-2</v>
      </c>
      <c r="F17" s="165"/>
      <c r="G17" s="311" t="s">
        <v>165</v>
      </c>
      <c r="H17" s="172" t="s">
        <v>72</v>
      </c>
      <c r="I17" s="191">
        <v>80.63</v>
      </c>
      <c r="J17" s="191">
        <v>87.22999999999999</v>
      </c>
      <c r="K17" s="188">
        <v>-7.5999999999999998E-2</v>
      </c>
      <c r="M17" s="189" t="s">
        <v>179</v>
      </c>
      <c r="N17" s="192">
        <v>7460</v>
      </c>
      <c r="O17" s="192">
        <v>26297</v>
      </c>
      <c r="P17" s="188">
        <v>-0.71599999999999997</v>
      </c>
      <c r="Q17" s="193"/>
      <c r="S17" s="196"/>
      <c r="U17" s="196"/>
      <c r="AA17" s="118" t="s">
        <v>194</v>
      </c>
      <c r="AB17" s="133">
        <v>119493</v>
      </c>
      <c r="AC17" s="133">
        <v>107181</v>
      </c>
      <c r="AD17" s="133">
        <v>12312</v>
      </c>
      <c r="AE17" s="218">
        <v>0.115</v>
      </c>
    </row>
    <row r="18" spans="1:48" ht="18" customHeight="1" thickBot="1">
      <c r="A18" s="118"/>
      <c r="B18" s="173"/>
      <c r="C18" s="173"/>
      <c r="D18" s="173"/>
      <c r="E18" s="188"/>
      <c r="G18" s="311" t="s">
        <v>166</v>
      </c>
      <c r="H18" s="172" t="s">
        <v>172</v>
      </c>
      <c r="I18" s="191">
        <v>5.66</v>
      </c>
      <c r="J18" s="191">
        <v>6.41</v>
      </c>
      <c r="K18" s="188">
        <v>-0.11700000000000001</v>
      </c>
      <c r="M18" s="117"/>
      <c r="N18" s="192"/>
      <c r="O18" s="185"/>
      <c r="P18" s="206"/>
      <c r="S18" s="196"/>
      <c r="U18" s="196"/>
      <c r="AA18" s="117" t="s">
        <v>195</v>
      </c>
      <c r="AB18" s="132">
        <v>5560</v>
      </c>
      <c r="AC18" s="132">
        <v>2777</v>
      </c>
      <c r="AD18" s="132">
        <v>2783</v>
      </c>
      <c r="AE18" s="188">
        <v>1.002</v>
      </c>
      <c r="AF18" s="196"/>
    </row>
    <row r="19" spans="1:48" ht="18" customHeight="1" thickBot="1">
      <c r="A19" s="117" t="s">
        <v>155</v>
      </c>
      <c r="B19" s="190">
        <v>579851</v>
      </c>
      <c r="C19" s="190">
        <v>576460</v>
      </c>
      <c r="D19" s="190">
        <v>3391</v>
      </c>
      <c r="E19" s="188">
        <v>6.0000000000000001E-3</v>
      </c>
      <c r="F19" s="165"/>
      <c r="G19" s="117"/>
      <c r="H19" s="172"/>
      <c r="I19" s="173"/>
      <c r="J19" s="173"/>
      <c r="K19" s="205"/>
      <c r="M19" s="315" t="s">
        <v>180</v>
      </c>
      <c r="N19" s="216">
        <v>12628</v>
      </c>
      <c r="O19" s="216">
        <v>37429</v>
      </c>
      <c r="P19" s="217">
        <v>-0.66300000000000003</v>
      </c>
      <c r="AA19" s="117" t="s">
        <v>196</v>
      </c>
      <c r="AB19" s="132">
        <v>-20140</v>
      </c>
      <c r="AC19" s="132">
        <v>-16248</v>
      </c>
      <c r="AD19" s="132">
        <v>-3892</v>
      </c>
      <c r="AE19" s="188">
        <v>0.24</v>
      </c>
      <c r="AF19" s="196"/>
    </row>
    <row r="20" spans="1:48" ht="18" customHeight="1">
      <c r="A20" s="290" t="s">
        <v>156</v>
      </c>
      <c r="B20" s="190">
        <v>371716</v>
      </c>
      <c r="C20" s="190">
        <v>369216</v>
      </c>
      <c r="D20" s="190">
        <v>2500</v>
      </c>
      <c r="E20" s="188">
        <v>7.0000000000000001E-3</v>
      </c>
      <c r="F20" s="165"/>
      <c r="G20" s="181" t="s">
        <v>167</v>
      </c>
      <c r="H20" s="172"/>
      <c r="I20" s="173"/>
      <c r="J20" s="173"/>
      <c r="K20" s="205"/>
      <c r="T20" s="157" t="s">
        <v>2</v>
      </c>
      <c r="AA20" s="117" t="s">
        <v>197</v>
      </c>
      <c r="AB20" s="132">
        <v>7</v>
      </c>
      <c r="AC20" s="132">
        <v>-13</v>
      </c>
      <c r="AD20" s="132">
        <v>20</v>
      </c>
      <c r="AE20" s="188">
        <v>-1.538</v>
      </c>
    </row>
    <row r="21" spans="1:48" ht="27.75" customHeight="1" thickBot="1">
      <c r="A21" s="159" t="s">
        <v>157</v>
      </c>
      <c r="B21" s="219">
        <v>951567</v>
      </c>
      <c r="C21" s="219">
        <v>945676</v>
      </c>
      <c r="D21" s="219">
        <v>5891</v>
      </c>
      <c r="E21" s="220">
        <v>6.0000000000000001E-3</v>
      </c>
      <c r="F21" s="165"/>
      <c r="G21" s="312" t="s">
        <v>168</v>
      </c>
      <c r="H21" s="172" t="s">
        <v>72</v>
      </c>
      <c r="I21" s="191">
        <v>9.17</v>
      </c>
      <c r="J21" s="191">
        <v>8.7899999999999991</v>
      </c>
      <c r="K21" s="188">
        <v>4.2999999999999997E-2</v>
      </c>
      <c r="M21" s="157" t="s">
        <v>86</v>
      </c>
      <c r="N21" s="157">
        <v>-0.29500000000007276</v>
      </c>
      <c r="O21" s="157">
        <v>0.57400000000052387</v>
      </c>
      <c r="AA21" s="117" t="s">
        <v>198</v>
      </c>
      <c r="AB21" s="132">
        <v>-12963</v>
      </c>
      <c r="AC21" s="132">
        <v>-8431</v>
      </c>
      <c r="AD21" s="132">
        <v>-4532</v>
      </c>
      <c r="AE21" s="188">
        <v>0.53800000000000003</v>
      </c>
    </row>
    <row r="22" spans="1:48" ht="18" customHeight="1" thickBot="1">
      <c r="A22" s="159" t="s">
        <v>158</v>
      </c>
      <c r="B22" s="219">
        <v>1731939</v>
      </c>
      <c r="C22" s="219">
        <v>1679392</v>
      </c>
      <c r="D22" s="219">
        <v>52547</v>
      </c>
      <c r="E22" s="220">
        <v>3.1E-2</v>
      </c>
      <c r="F22" s="165"/>
      <c r="G22" s="311" t="s">
        <v>169</v>
      </c>
      <c r="H22" s="172" t="s">
        <v>72</v>
      </c>
      <c r="I22" s="191">
        <v>3.1</v>
      </c>
      <c r="J22" s="191">
        <v>3.04</v>
      </c>
      <c r="K22" s="188">
        <v>0.02</v>
      </c>
      <c r="AA22" s="118" t="s">
        <v>199</v>
      </c>
      <c r="AB22" s="133">
        <v>-27536</v>
      </c>
      <c r="AC22" s="133">
        <v>-21915</v>
      </c>
      <c r="AD22" s="133">
        <v>-5621</v>
      </c>
      <c r="AE22" s="218">
        <v>0.25600000000000001</v>
      </c>
    </row>
    <row r="23" spans="1:48" ht="29.25" customHeight="1">
      <c r="G23" s="311" t="s">
        <v>170</v>
      </c>
      <c r="H23" s="172" t="s">
        <v>73</v>
      </c>
      <c r="I23" s="191">
        <v>53.09</v>
      </c>
      <c r="J23" s="191">
        <v>51</v>
      </c>
      <c r="K23" s="188">
        <v>4.1000000000000002E-2</v>
      </c>
      <c r="AA23" s="117" t="s">
        <v>200</v>
      </c>
      <c r="AB23" s="132">
        <v>1932</v>
      </c>
      <c r="AC23" s="132">
        <v>1681</v>
      </c>
      <c r="AD23" s="132">
        <v>251</v>
      </c>
      <c r="AE23" s="188">
        <v>0.14899999999999999</v>
      </c>
      <c r="AF23" s="196"/>
    </row>
    <row r="24" spans="1:48" ht="18" customHeight="1">
      <c r="A24" s="299"/>
      <c r="B24" s="300"/>
      <c r="C24" s="300"/>
      <c r="D24" s="300"/>
      <c r="E24" s="301"/>
      <c r="G24" s="311" t="s">
        <v>171</v>
      </c>
      <c r="H24" s="172" t="s">
        <v>72</v>
      </c>
      <c r="I24" s="191">
        <v>7.13</v>
      </c>
      <c r="J24" s="191">
        <v>7.95</v>
      </c>
      <c r="K24" s="188">
        <v>-0.10299999999999999</v>
      </c>
      <c r="AA24" s="118" t="s">
        <v>201</v>
      </c>
      <c r="AB24" s="133">
        <v>93889</v>
      </c>
      <c r="AC24" s="133">
        <v>86947</v>
      </c>
      <c r="AD24" s="133">
        <v>6942</v>
      </c>
      <c r="AE24" s="218">
        <v>0.08</v>
      </c>
    </row>
    <row r="25" spans="1:48" ht="18" customHeight="1" thickBot="1">
      <c r="A25" s="299"/>
      <c r="B25" s="300"/>
      <c r="C25" s="300"/>
      <c r="D25" s="300"/>
      <c r="E25" s="300"/>
      <c r="G25" s="161"/>
      <c r="H25" s="221"/>
      <c r="I25" s="222"/>
      <c r="J25" s="222"/>
      <c r="K25" s="223"/>
      <c r="AA25" s="117" t="s">
        <v>202</v>
      </c>
      <c r="AB25" s="132">
        <v>-17111</v>
      </c>
      <c r="AC25" s="132">
        <v>-13614</v>
      </c>
      <c r="AD25" s="132">
        <v>-3497</v>
      </c>
      <c r="AE25" s="188">
        <v>0.25700000000000001</v>
      </c>
      <c r="AF25" s="196"/>
    </row>
    <row r="26" spans="1:48" ht="14.25" customHeight="1">
      <c r="A26" s="299"/>
      <c r="B26" s="302"/>
      <c r="C26" s="302"/>
      <c r="D26" s="302"/>
      <c r="E26" s="299"/>
      <c r="AA26" s="117" t="s">
        <v>203</v>
      </c>
      <c r="AB26" s="132">
        <v>-38730</v>
      </c>
      <c r="AC26" s="132">
        <v>-37372</v>
      </c>
      <c r="AD26" s="132">
        <v>-1358</v>
      </c>
      <c r="AE26" s="188">
        <v>3.5999999999999997E-2</v>
      </c>
      <c r="AK26" s="299"/>
      <c r="AL26" s="299"/>
      <c r="AM26" s="299"/>
      <c r="AN26" s="299"/>
      <c r="AP26" s="224"/>
      <c r="AQ26" s="148"/>
      <c r="AR26" s="148"/>
      <c r="AS26" s="148"/>
    </row>
    <row r="27" spans="1:48" ht="14.25" customHeight="1">
      <c r="A27" s="299"/>
      <c r="B27" s="299"/>
      <c r="C27" s="299"/>
      <c r="D27" s="299"/>
      <c r="E27" s="300"/>
      <c r="H27" s="261"/>
      <c r="I27" s="262"/>
      <c r="AA27" s="117"/>
      <c r="AB27" s="132"/>
      <c r="AC27" s="132"/>
      <c r="AD27" s="132"/>
      <c r="AE27" s="206"/>
      <c r="AK27" s="299"/>
      <c r="AL27" s="299"/>
      <c r="AM27" s="299"/>
      <c r="AN27" s="299"/>
      <c r="AP27" s="162"/>
      <c r="AQ27" s="148"/>
      <c r="AR27" s="148"/>
      <c r="AS27" s="148"/>
      <c r="AT27" s="148"/>
      <c r="AU27" s="148"/>
      <c r="AV27" s="148"/>
    </row>
    <row r="28" spans="1:48" ht="14.25" customHeight="1" thickBot="1">
      <c r="B28" s="165"/>
      <c r="C28" s="165"/>
      <c r="D28" s="165"/>
      <c r="AA28" s="131" t="s">
        <v>204</v>
      </c>
      <c r="AB28" s="134">
        <v>38048</v>
      </c>
      <c r="AC28" s="134">
        <v>35961</v>
      </c>
      <c r="AD28" s="134">
        <v>2087</v>
      </c>
      <c r="AE28" s="225">
        <v>5.8000000000000003E-2</v>
      </c>
      <c r="AF28" s="196"/>
      <c r="AK28" s="299"/>
      <c r="AL28" s="299"/>
      <c r="AM28" s="299"/>
      <c r="AN28" s="299"/>
      <c r="AP28" s="162"/>
      <c r="AQ28" s="162"/>
      <c r="AR28" s="162"/>
      <c r="AS28" s="148"/>
      <c r="AT28" s="148"/>
      <c r="AU28" s="148"/>
      <c r="AV28" s="148"/>
    </row>
    <row r="29" spans="1:48">
      <c r="H29" s="259"/>
      <c r="I29" s="193"/>
      <c r="AK29" s="299"/>
      <c r="AL29" s="299"/>
      <c r="AM29" s="299"/>
      <c r="AN29" s="299"/>
      <c r="AP29" s="226"/>
      <c r="AQ29" s="148"/>
      <c r="AR29" s="148"/>
      <c r="AS29" s="148"/>
      <c r="AT29" s="148"/>
      <c r="AU29" s="148"/>
      <c r="AV29" s="148"/>
    </row>
    <row r="30" spans="1:48">
      <c r="H30" s="259"/>
      <c r="I30" s="193"/>
      <c r="AK30" s="299"/>
      <c r="AL30" s="299"/>
      <c r="AM30" s="299"/>
      <c r="AN30" s="299"/>
      <c r="AP30" s="224"/>
      <c r="AQ30" s="148"/>
      <c r="AR30" s="148"/>
      <c r="AS30" s="148"/>
      <c r="AT30" s="148"/>
      <c r="AU30" s="148"/>
      <c r="AV30" s="148"/>
    </row>
    <row r="31" spans="1:48" s="253" customFormat="1">
      <c r="H31" s="260"/>
      <c r="I31" s="264"/>
      <c r="N31" s="254">
        <v>0.29500000000007276</v>
      </c>
      <c r="O31" s="254">
        <v>-0.57400000000052387</v>
      </c>
      <c r="S31" s="255"/>
      <c r="U31" s="255"/>
      <c r="Z31" s="299"/>
      <c r="AA31" s="303"/>
      <c r="AB31" s="304"/>
      <c r="AC31" s="304"/>
      <c r="AD31" s="304"/>
      <c r="AE31" s="305"/>
      <c r="AF31" s="305"/>
      <c r="AK31" s="299"/>
      <c r="AL31" s="299"/>
      <c r="AM31" s="299"/>
      <c r="AN31" s="299"/>
      <c r="AP31" s="256"/>
      <c r="AQ31" s="257"/>
      <c r="AR31" s="257"/>
      <c r="AS31" s="257"/>
      <c r="AT31" s="256"/>
      <c r="AU31" s="256"/>
      <c r="AV31" s="258"/>
    </row>
    <row r="32" spans="1:48">
      <c r="H32" s="261"/>
      <c r="I32" s="265"/>
      <c r="X32" s="173"/>
      <c r="Y32" s="173"/>
      <c r="Z32" s="303"/>
      <c r="AA32" s="303"/>
      <c r="AB32" s="173"/>
      <c r="AC32" s="173"/>
      <c r="AD32" s="173"/>
      <c r="AE32" s="173"/>
      <c r="AF32" s="173"/>
      <c r="AP32" s="224"/>
      <c r="AQ32" s="148"/>
      <c r="AR32" s="227"/>
      <c r="AS32" s="227"/>
      <c r="AT32" s="224"/>
      <c r="AU32" s="227"/>
      <c r="AV32" s="148"/>
    </row>
    <row r="33" spans="9:48">
      <c r="I33" s="193"/>
      <c r="X33" s="173"/>
      <c r="Y33" s="173"/>
      <c r="Z33" s="303"/>
      <c r="AA33" s="303"/>
      <c r="AB33" s="132"/>
      <c r="AC33" s="132"/>
      <c r="AD33" s="132"/>
      <c r="AE33" s="306"/>
      <c r="AF33" s="173"/>
      <c r="AP33" s="224"/>
      <c r="AQ33" s="148"/>
      <c r="AR33" s="227"/>
      <c r="AS33" s="227"/>
      <c r="AT33" s="148"/>
      <c r="AU33" s="148"/>
      <c r="AV33" s="148"/>
    </row>
    <row r="34" spans="9:48">
      <c r="X34" s="173"/>
      <c r="Y34" s="173"/>
      <c r="Z34" s="303"/>
      <c r="AA34" s="303"/>
      <c r="AB34" s="132"/>
      <c r="AC34" s="132"/>
      <c r="AD34" s="173"/>
      <c r="AE34" s="173"/>
      <c r="AF34" s="173"/>
      <c r="AP34" s="162"/>
      <c r="AQ34" s="148"/>
      <c r="AR34" s="148"/>
      <c r="AS34" s="148"/>
      <c r="AT34" s="148"/>
      <c r="AU34" s="148"/>
      <c r="AV34" s="148"/>
    </row>
    <row r="35" spans="9:48">
      <c r="X35" s="173"/>
      <c r="Y35" s="173"/>
      <c r="Z35" s="303"/>
      <c r="AA35" s="303"/>
      <c r="AB35" s="307"/>
      <c r="AC35" s="307"/>
      <c r="AD35" s="133"/>
      <c r="AE35" s="308"/>
      <c r="AF35" s="173"/>
      <c r="AP35" s="162"/>
      <c r="AQ35" s="148"/>
      <c r="AR35" s="148"/>
      <c r="AS35" s="148"/>
      <c r="AT35" s="148"/>
      <c r="AU35" s="148"/>
      <c r="AV35" s="148"/>
    </row>
    <row r="36" spans="9:48">
      <c r="X36" s="173"/>
      <c r="Y36" s="173"/>
      <c r="Z36" s="303"/>
      <c r="AA36" s="303"/>
      <c r="AB36" s="173"/>
      <c r="AC36" s="173"/>
      <c r="AD36" s="173"/>
      <c r="AE36" s="173"/>
      <c r="AF36" s="173"/>
      <c r="AP36" s="162"/>
      <c r="AQ36" s="148"/>
      <c r="AR36" s="148"/>
      <c r="AS36" s="148"/>
      <c r="AT36" s="148"/>
      <c r="AU36" s="148"/>
      <c r="AV36" s="148"/>
    </row>
    <row r="37" spans="9:48">
      <c r="X37" s="173"/>
      <c r="Y37" s="173"/>
      <c r="Z37" s="303"/>
      <c r="AA37" s="303"/>
      <c r="AB37" s="173"/>
      <c r="AC37" s="173"/>
      <c r="AD37" s="173"/>
      <c r="AE37" s="173"/>
      <c r="AF37" s="173"/>
      <c r="AP37" s="226"/>
      <c r="AQ37" s="148"/>
      <c r="AR37" s="148"/>
      <c r="AS37" s="148"/>
      <c r="AT37" s="162"/>
      <c r="AU37" s="162"/>
      <c r="AV37" s="148"/>
    </row>
    <row r="38" spans="9:48">
      <c r="X38" s="173"/>
      <c r="Y38" s="173"/>
      <c r="Z38" s="303"/>
      <c r="AA38" s="303"/>
      <c r="AB38" s="132"/>
      <c r="AC38" s="132"/>
      <c r="AD38" s="132"/>
      <c r="AE38" s="306"/>
      <c r="AF38" s="173"/>
      <c r="AP38" s="224"/>
      <c r="AQ38" s="148"/>
      <c r="AR38" s="148"/>
      <c r="AS38" s="148"/>
      <c r="AT38" s="148"/>
      <c r="AU38" s="148"/>
      <c r="AV38" s="148"/>
    </row>
    <row r="39" spans="9:48">
      <c r="X39" s="173"/>
      <c r="Y39" s="173"/>
      <c r="Z39" s="303"/>
      <c r="AA39" s="303"/>
      <c r="AB39" s="132"/>
      <c r="AC39" s="132"/>
      <c r="AD39" s="173"/>
      <c r="AE39" s="173"/>
      <c r="AF39" s="173"/>
      <c r="AP39" s="224"/>
      <c r="AQ39" s="148"/>
      <c r="AR39" s="148"/>
      <c r="AS39" s="148"/>
      <c r="AT39" s="224"/>
      <c r="AU39" s="148"/>
      <c r="AV39" s="148"/>
    </row>
    <row r="40" spans="9:48">
      <c r="X40" s="173"/>
      <c r="Y40" s="173"/>
      <c r="Z40" s="303"/>
      <c r="AA40" s="303"/>
      <c r="AB40" s="307"/>
      <c r="AC40" s="307"/>
      <c r="AD40" s="133"/>
      <c r="AE40" s="308"/>
      <c r="AF40" s="173"/>
      <c r="AT40" s="224"/>
      <c r="AU40" s="148"/>
      <c r="AV40" s="148"/>
    </row>
    <row r="41" spans="9:48">
      <c r="X41" s="173"/>
      <c r="Y41" s="173"/>
      <c r="Z41" s="303"/>
      <c r="AA41" s="303"/>
      <c r="AB41" s="173"/>
      <c r="AC41" s="173"/>
      <c r="AD41" s="173"/>
      <c r="AE41" s="173"/>
      <c r="AF41" s="173"/>
    </row>
    <row r="42" spans="9:48">
      <c r="X42" s="173"/>
      <c r="Y42" s="173"/>
      <c r="Z42" s="303"/>
      <c r="AA42" s="303"/>
    </row>
  </sheetData>
  <mergeCells count="10">
    <mergeCell ref="AJ8:AK8"/>
    <mergeCell ref="B9:B10"/>
    <mergeCell ref="C9:C10"/>
    <mergeCell ref="E9:E10"/>
    <mergeCell ref="D9:D10"/>
    <mergeCell ref="D8:E8"/>
    <mergeCell ref="AD8:AE8"/>
    <mergeCell ref="S8:T8"/>
    <mergeCell ref="U8:V8"/>
    <mergeCell ref="W8:X8"/>
  </mergeCells>
  <phoneticPr fontId="3" type="noConversion"/>
  <pageMargins left="0.74803149606299213" right="0.74803149606299213" top="0.98425196850393704" bottom="0.98425196850393704" header="0" footer="0"/>
  <pageSetup scale="91" orientation="portrait" verticalDpi="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13"/>
  <sheetViews>
    <sheetView workbookViewId="0">
      <selection activeCell="D7" sqref="D7"/>
    </sheetView>
  </sheetViews>
  <sheetFormatPr baseColWidth="10" defaultRowHeight="12.75"/>
  <cols>
    <col min="2" max="2" width="47.42578125" customWidth="1"/>
    <col min="3" max="3" width="15.28515625" bestFit="1" customWidth="1"/>
  </cols>
  <sheetData>
    <row r="2" spans="2:4">
      <c r="B2" t="s">
        <v>110</v>
      </c>
      <c r="C2" s="252" t="s">
        <v>7</v>
      </c>
    </row>
    <row r="4" spans="2:4">
      <c r="B4" t="s">
        <v>108</v>
      </c>
      <c r="C4" s="250">
        <f>+cálculos!F23</f>
        <v>51000911</v>
      </c>
      <c r="D4" s="250">
        <f>+C4+C5</f>
        <v>15040058</v>
      </c>
    </row>
    <row r="5" spans="2:4">
      <c r="B5" t="s">
        <v>135</v>
      </c>
      <c r="C5" s="250">
        <f>-cálculos!D74</f>
        <v>-35960853</v>
      </c>
    </row>
    <row r="6" spans="2:4">
      <c r="B6" t="s">
        <v>136</v>
      </c>
      <c r="C6" s="251">
        <f>+cálculos!C74</f>
        <v>38048759</v>
      </c>
      <c r="D6" s="250">
        <f>+C6</f>
        <v>38048759</v>
      </c>
    </row>
    <row r="7" spans="2:4">
      <c r="B7" t="s">
        <v>137</v>
      </c>
      <c r="C7" s="250">
        <f>SUM(C4:C6)</f>
        <v>53088817</v>
      </c>
      <c r="D7" s="250">
        <f>+D6+D4</f>
        <v>53088817</v>
      </c>
    </row>
    <row r="8" spans="2:4">
      <c r="C8" s="250"/>
    </row>
    <row r="9" spans="2:4">
      <c r="C9" s="250"/>
    </row>
    <row r="10" spans="2:4">
      <c r="B10" s="266" t="s">
        <v>109</v>
      </c>
      <c r="C10" s="267">
        <v>123047510</v>
      </c>
    </row>
    <row r="11" spans="2:4">
      <c r="B11" s="266" t="s">
        <v>113</v>
      </c>
      <c r="C11" s="267">
        <v>-69680300</v>
      </c>
    </row>
    <row r="12" spans="2:4">
      <c r="B12" s="266" t="s">
        <v>114</v>
      </c>
      <c r="C12" s="268">
        <f>-C5</f>
        <v>35960853</v>
      </c>
    </row>
    <row r="13" spans="2:4">
      <c r="B13" s="266" t="s">
        <v>115</v>
      </c>
      <c r="C13" s="267">
        <f>SUM(C10:C12)</f>
        <v>89328063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cálculos</vt:lpstr>
      <vt:lpstr>cuadros</vt:lpstr>
      <vt:lpstr>Utilidad Anualizada</vt:lpstr>
      <vt:lpstr>cálculos!Área_de_impresión</vt:lpstr>
      <vt:lpstr>cuadros!Área_de_impresión</vt:lpstr>
    </vt:vector>
  </TitlesOfParts>
  <Company>Aguas Andinas S.A.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M.Angélica</dc:creator>
  <cp:lastModifiedBy>Angelica Maria Espinosa Ramos</cp:lastModifiedBy>
  <cp:lastPrinted>2011-08-11T15:32:03Z</cp:lastPrinted>
  <dcterms:created xsi:type="dcterms:W3CDTF">2009-05-16T00:13:33Z</dcterms:created>
  <dcterms:modified xsi:type="dcterms:W3CDTF">2015-03-09T12:46:46Z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Analisis razonado IAM Septiembre 2011.xls</vt:lpwstr>
  </property>
</Properties>
</file>