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olors4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tdisco04\Sistema de Consolidacion\SISTEMA-CONSOLIDACION\FECU  IFRS\FECUS AÑO 2023\4 Diciembre 2023\Analisis Razonado\"/>
    </mc:Choice>
  </mc:AlternateContent>
  <xr:revisionPtr revIDLastSave="0" documentId="8_{0D36D7C1-B0B0-4F4D-96D8-465902BB42E2}" xr6:coauthVersionLast="47" xr6:coauthVersionMax="47" xr10:uidLastSave="{00000000-0000-0000-0000-000000000000}"/>
  <bookViews>
    <workbookView xWindow="-120" yWindow="-120" windowWidth="20730" windowHeight="11160" tabRatio="904" firstSheet="1" activeTab="8" xr2:uid="{00000000-000D-0000-FFFF-FFFF00000000}"/>
  </bookViews>
  <sheets>
    <sheet name="BExRepositorySheet" sheetId="9" state="veryHidden" r:id="rId1"/>
    <sheet name="Análisis de gastos" sheetId="32" r:id="rId2"/>
    <sheet name="Resultados" sheetId="18" r:id="rId3"/>
    <sheet name="Resultados por Segmento" sheetId="29" r:id="rId4"/>
    <sheet name="Resultados Trim" sheetId="24" state="hidden" r:id="rId5"/>
    <sheet name="Resultados Trimestrales" sheetId="30" r:id="rId6"/>
    <sheet name="Estado de situación financiera" sheetId="8" r:id="rId7"/>
    <sheet name="Deuda Financiera" sheetId="23" r:id="rId8"/>
    <sheet name="Flujo de efectivo" sheetId="17" r:id="rId9"/>
    <sheet name="Indicadores" sheetId="15" r:id="rId10"/>
    <sheet name="cálculos" sheetId="4" r:id="rId11"/>
    <sheet name="Balance" sheetId="11" r:id="rId12"/>
    <sheet name="Resultado" sheetId="12" r:id="rId13"/>
    <sheet name="Flujo" sheetId="13" r:id="rId14"/>
    <sheet name="Anualizados" sheetId="10" r:id="rId15"/>
    <sheet name="Valor Acc" sheetId="31" r:id="rId16"/>
    <sheet name="Hoja1" sheetId="33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Hlk47472038" localSheetId="3">'Resultados por Segmento'!$B$10</definedName>
    <definedName name="_Hlk70934545" localSheetId="2">Resultados!$M$40</definedName>
    <definedName name="_Toc534280096" localSheetId="1">'Análisis de gastos'!$B$2</definedName>
    <definedName name="_Toc534626058" localSheetId="1">'Análisis de gastos'!$B$14</definedName>
    <definedName name="_xlnm.Print_Area" localSheetId="10">cálculos!$H$4:$L$51</definedName>
    <definedName name="_xlnm.Print_Area" localSheetId="6">'Estado de situación financiera'!#REF!</definedName>
    <definedName name="_xlnm.Print_Area" localSheetId="8">'Flujo de efectivo'!#REF!</definedName>
    <definedName name="_xlnm.Print_Area" localSheetId="9">Indicadores!#REF!</definedName>
    <definedName name="_xlnm.Print_Area" localSheetId="2">Resultados!#REF!</definedName>
    <definedName name="_xlnm.Print_Area" localSheetId="4">'Resultados Trim'!#REF!</definedName>
    <definedName name="Base">'[1]ER-Mod'!$B$3</definedName>
    <definedName name="empresa">'[1]ER-Mod'!$A$2</definedName>
    <definedName name="key">'[1]ER-Mod'!$B$2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13" l="1"/>
  <c r="D44" i="13"/>
  <c r="E40" i="13"/>
  <c r="D40" i="13"/>
  <c r="E37" i="13"/>
  <c r="E36" i="13"/>
  <c r="D36" i="13"/>
  <c r="D30" i="13"/>
  <c r="E30" i="13"/>
  <c r="E29" i="13"/>
  <c r="D29" i="13"/>
  <c r="E28" i="13"/>
  <c r="D28" i="13"/>
  <c r="E27" i="13"/>
  <c r="D27" i="13"/>
  <c r="E26" i="13"/>
  <c r="D26" i="13"/>
  <c r="D17" i="13"/>
  <c r="E17" i="13"/>
  <c r="D18" i="13"/>
  <c r="E18" i="13"/>
  <c r="D19" i="13"/>
  <c r="E19" i="13"/>
  <c r="D20" i="13"/>
  <c r="E20" i="13"/>
  <c r="D21" i="13"/>
  <c r="E21" i="13"/>
  <c r="E16" i="13"/>
  <c r="D16" i="13"/>
  <c r="D11" i="13"/>
  <c r="E11" i="13"/>
  <c r="D12" i="13"/>
  <c r="D15" i="13" s="1"/>
  <c r="E12" i="13"/>
  <c r="E15" i="13" s="1"/>
  <c r="D13" i="13"/>
  <c r="E13" i="13"/>
  <c r="D14" i="13"/>
  <c r="E14" i="13"/>
  <c r="E10" i="13"/>
  <c r="D10" i="13"/>
  <c r="D5" i="13"/>
  <c r="E5" i="13"/>
  <c r="D6" i="13"/>
  <c r="E6" i="13"/>
  <c r="D7" i="13"/>
  <c r="E7" i="13"/>
  <c r="D8" i="13"/>
  <c r="E8" i="13"/>
  <c r="E4" i="13"/>
  <c r="D4" i="13"/>
  <c r="G8" i="23"/>
  <c r="G9" i="23" s="1"/>
  <c r="F8" i="23"/>
  <c r="F9" i="23" s="1"/>
  <c r="B50" i="23"/>
  <c r="B49" i="23"/>
  <c r="B48" i="23"/>
  <c r="B47" i="23"/>
  <c r="B46" i="23"/>
  <c r="B45" i="23"/>
  <c r="B44" i="23"/>
  <c r="B51" i="23" s="1"/>
  <c r="B17" i="23"/>
  <c r="B14" i="23"/>
  <c r="H13" i="23"/>
  <c r="B13" i="23"/>
  <c r="H9" i="23"/>
  <c r="J8" i="23"/>
  <c r="H8" i="23"/>
  <c r="J6" i="23"/>
  <c r="E6" i="23"/>
  <c r="D6" i="23"/>
  <c r="D16" i="23" s="1"/>
  <c r="J5" i="23"/>
  <c r="G5" i="23"/>
  <c r="F5" i="23"/>
  <c r="E5" i="23"/>
  <c r="D5" i="23" s="1"/>
  <c r="J4" i="23"/>
  <c r="H4" i="23"/>
  <c r="G4" i="23"/>
  <c r="G7" i="23" s="1"/>
  <c r="F4" i="23"/>
  <c r="D4" i="23" s="1"/>
  <c r="E4" i="23"/>
  <c r="J3" i="23"/>
  <c r="H3" i="23"/>
  <c r="H7" i="23" s="1"/>
  <c r="H10" i="23" s="1"/>
  <c r="G3" i="23"/>
  <c r="F3" i="23"/>
  <c r="F7" i="23" s="1"/>
  <c r="E3" i="23"/>
  <c r="E7" i="23" s="1"/>
  <c r="G10" i="23" l="1"/>
  <c r="F10" i="23"/>
  <c r="D14" i="23"/>
  <c r="K4" i="23"/>
  <c r="C45" i="23"/>
  <c r="C49" i="23"/>
  <c r="C48" i="23"/>
  <c r="C60" i="23" s="1"/>
  <c r="C44" i="23"/>
  <c r="D15" i="23"/>
  <c r="K5" i="23"/>
  <c r="C46" i="23"/>
  <c r="C47" i="23"/>
  <c r="C50" i="23"/>
  <c r="C61" i="23" s="1"/>
  <c r="H14" i="23"/>
  <c r="D3" i="23"/>
  <c r="C54" i="23" l="1"/>
  <c r="C57" i="23"/>
  <c r="H15" i="23"/>
  <c r="C51" i="23"/>
  <c r="C55" i="23"/>
  <c r="C58" i="23"/>
  <c r="C59" i="23"/>
  <c r="D13" i="23"/>
  <c r="D7" i="23"/>
  <c r="K3" i="23"/>
  <c r="C62" i="23" l="1"/>
  <c r="C56" i="23"/>
  <c r="L9" i="12" l="1"/>
  <c r="L18" i="12"/>
  <c r="L22" i="12"/>
  <c r="L23" i="12"/>
  <c r="L25" i="12"/>
  <c r="I9" i="12"/>
  <c r="I18" i="12"/>
  <c r="I22" i="12"/>
  <c r="I23" i="12"/>
  <c r="I25" i="12"/>
  <c r="D44" i="18"/>
  <c r="D43" i="18"/>
  <c r="D42" i="18"/>
  <c r="D41" i="18"/>
  <c r="D40" i="18"/>
  <c r="C44" i="18"/>
  <c r="C43" i="18"/>
  <c r="C42" i="18"/>
  <c r="C41" i="18"/>
  <c r="C40" i="18"/>
  <c r="D35" i="18"/>
  <c r="D34" i="18"/>
  <c r="C35" i="18"/>
  <c r="C34" i="18"/>
  <c r="G28" i="18"/>
  <c r="E28" i="18"/>
  <c r="D28" i="18"/>
  <c r="D29" i="18"/>
  <c r="D30" i="18"/>
  <c r="D31" i="18"/>
  <c r="C29" i="18"/>
  <c r="C30" i="18"/>
  <c r="C31" i="18"/>
  <c r="C28" i="18"/>
  <c r="F22" i="18"/>
  <c r="F23" i="18"/>
  <c r="F24" i="18"/>
  <c r="F21" i="18"/>
  <c r="C22" i="18"/>
  <c r="C23" i="18"/>
  <c r="C24" i="18"/>
  <c r="C21" i="18"/>
  <c r="E64" i="11" l="1"/>
  <c r="D45" i="33" s="1"/>
  <c r="E62" i="11"/>
  <c r="D44" i="33" s="1"/>
  <c r="E61" i="11"/>
  <c r="D43" i="33" s="1"/>
  <c r="E60" i="11"/>
  <c r="E59" i="11"/>
  <c r="D42" i="33" s="1"/>
  <c r="E58" i="11"/>
  <c r="D41" i="33" s="1"/>
  <c r="E53" i="11"/>
  <c r="E52" i="11"/>
  <c r="E51" i="11"/>
  <c r="E50" i="11"/>
  <c r="E49" i="11"/>
  <c r="E48" i="11"/>
  <c r="E47" i="11"/>
  <c r="E46" i="11"/>
  <c r="E41" i="11"/>
  <c r="E40" i="11"/>
  <c r="E39" i="11"/>
  <c r="E38" i="11"/>
  <c r="E37" i="11"/>
  <c r="E36" i="11"/>
  <c r="E35" i="11"/>
  <c r="E34" i="11"/>
  <c r="E25" i="11"/>
  <c r="E24" i="11"/>
  <c r="E23" i="11"/>
  <c r="E22" i="11"/>
  <c r="E21" i="11"/>
  <c r="E20" i="11"/>
  <c r="E19" i="11"/>
  <c r="E18" i="11"/>
  <c r="E17" i="11"/>
  <c r="E14" i="11"/>
  <c r="E12" i="11"/>
  <c r="E11" i="11"/>
  <c r="E10" i="11"/>
  <c r="E9" i="11"/>
  <c r="E8" i="11"/>
  <c r="E7" i="11"/>
  <c r="E6" i="11"/>
  <c r="D64" i="11"/>
  <c r="C45" i="33" s="1"/>
  <c r="D59" i="11"/>
  <c r="C42" i="33" s="1"/>
  <c r="D60" i="11"/>
  <c r="D61" i="11"/>
  <c r="C43" i="33" s="1"/>
  <c r="D58" i="11"/>
  <c r="C41" i="33" s="1"/>
  <c r="D47" i="11"/>
  <c r="D48" i="11"/>
  <c r="D49" i="11"/>
  <c r="D50" i="11"/>
  <c r="D51" i="11"/>
  <c r="D52" i="11"/>
  <c r="D53" i="11"/>
  <c r="D46" i="11"/>
  <c r="D35" i="11"/>
  <c r="D36" i="11"/>
  <c r="D37" i="11"/>
  <c r="D38" i="11"/>
  <c r="D39" i="11"/>
  <c r="D40" i="11"/>
  <c r="D41" i="11"/>
  <c r="D34" i="11"/>
  <c r="D25" i="11"/>
  <c r="D24" i="11"/>
  <c r="D23" i="11"/>
  <c r="D22" i="11"/>
  <c r="D21" i="11"/>
  <c r="D20" i="11"/>
  <c r="D19" i="11"/>
  <c r="D18" i="11"/>
  <c r="D17" i="11"/>
  <c r="D14" i="11"/>
  <c r="D12" i="11"/>
  <c r="D11" i="11"/>
  <c r="D10" i="11"/>
  <c r="D9" i="11"/>
  <c r="D8" i="11"/>
  <c r="D7" i="11"/>
  <c r="D6" i="11"/>
  <c r="D12" i="33"/>
  <c r="E27" i="12"/>
  <c r="D13" i="18" s="1"/>
  <c r="E20" i="12"/>
  <c r="D23" i="33" s="1"/>
  <c r="E17" i="12"/>
  <c r="E16" i="12"/>
  <c r="E15" i="12"/>
  <c r="D7" i="32" s="1"/>
  <c r="E14" i="12"/>
  <c r="E13" i="12"/>
  <c r="E11" i="12"/>
  <c r="E10" i="12"/>
  <c r="E8" i="12"/>
  <c r="E7" i="12"/>
  <c r="E6" i="12"/>
  <c r="E5" i="12"/>
  <c r="D19" i="33" s="1"/>
  <c r="D27" i="12"/>
  <c r="D20" i="12"/>
  <c r="D17" i="12"/>
  <c r="D16" i="12"/>
  <c r="D15" i="12"/>
  <c r="D14" i="12"/>
  <c r="D13" i="12"/>
  <c r="D11" i="12"/>
  <c r="D10" i="12"/>
  <c r="D6" i="12"/>
  <c r="D7" i="12"/>
  <c r="D8" i="12"/>
  <c r="D5" i="12"/>
  <c r="L39" i="4"/>
  <c r="L24" i="4"/>
  <c r="C20" i="33" l="1"/>
  <c r="C21" i="33"/>
  <c r="D20" i="33"/>
  <c r="D21" i="33"/>
  <c r="I5" i="12"/>
  <c r="C4" i="30" s="1"/>
  <c r="L5" i="12"/>
  <c r="L16" i="12"/>
  <c r="I16" i="12"/>
  <c r="L7" i="12"/>
  <c r="I7" i="12"/>
  <c r="L17" i="12"/>
  <c r="I17" i="12"/>
  <c r="I20" i="12"/>
  <c r="C11" i="30" s="1"/>
  <c r="L20" i="12"/>
  <c r="C19" i="33"/>
  <c r="D22" i="33"/>
  <c r="I6" i="12"/>
  <c r="C5" i="18"/>
  <c r="L6" i="12"/>
  <c r="I10" i="12"/>
  <c r="L10" i="12"/>
  <c r="L27" i="12"/>
  <c r="C13" i="18"/>
  <c r="I27" i="12"/>
  <c r="C12" i="30" s="1"/>
  <c r="C7" i="32"/>
  <c r="F7" i="32" s="1"/>
  <c r="E7" i="32" s="1"/>
  <c r="L15" i="12"/>
  <c r="I15" i="12"/>
  <c r="C22" i="33"/>
  <c r="I14" i="12"/>
  <c r="L14" i="12"/>
  <c r="L8" i="12"/>
  <c r="I8" i="12"/>
  <c r="C7" i="30" s="1"/>
  <c r="I11" i="12"/>
  <c r="C9" i="30" s="1"/>
  <c r="L11" i="12"/>
  <c r="D4" i="18"/>
  <c r="J5" i="12"/>
  <c r="D4" i="30" s="1"/>
  <c r="I13" i="12"/>
  <c r="L13" i="12"/>
  <c r="D5" i="18"/>
  <c r="C23" i="33"/>
  <c r="D46" i="33"/>
  <c r="L40" i="4"/>
  <c r="C25" i="33" l="1"/>
  <c r="C5" i="30"/>
  <c r="C6" i="30" s="1"/>
  <c r="C8" i="30" s="1"/>
  <c r="C10" i="30"/>
  <c r="D3" i="17"/>
  <c r="C3" i="17"/>
  <c r="G27" i="12"/>
  <c r="J9" i="12"/>
  <c r="J18" i="12"/>
  <c r="J23" i="12"/>
  <c r="J25" i="12"/>
  <c r="G20" i="12"/>
  <c r="F20" i="12"/>
  <c r="G17" i="12"/>
  <c r="F17" i="12"/>
  <c r="G16" i="12"/>
  <c r="F16" i="12"/>
  <c r="G15" i="12"/>
  <c r="F15" i="12"/>
  <c r="G14" i="12"/>
  <c r="F14" i="12"/>
  <c r="G13" i="12"/>
  <c r="F13" i="12"/>
  <c r="G11" i="12"/>
  <c r="G10" i="12"/>
  <c r="G6" i="12"/>
  <c r="G7" i="12"/>
  <c r="G8" i="12"/>
  <c r="G5" i="12"/>
  <c r="C13" i="30" l="1"/>
  <c r="D3" i="18"/>
  <c r="C3" i="18"/>
  <c r="C47" i="4"/>
  <c r="E69" i="4"/>
  <c r="E67" i="4"/>
  <c r="E64" i="4"/>
  <c r="E62" i="4"/>
  <c r="E61" i="4"/>
  <c r="E59" i="4"/>
  <c r="E58" i="4"/>
  <c r="E52" i="4"/>
  <c r="E53" i="4"/>
  <c r="E54" i="4"/>
  <c r="E55" i="4"/>
  <c r="E56" i="4"/>
  <c r="E51" i="4"/>
  <c r="D64" i="4"/>
  <c r="C61" i="4"/>
  <c r="J13" i="12"/>
  <c r="J14" i="12"/>
  <c r="J15" i="12"/>
  <c r="J16" i="12"/>
  <c r="J17" i="12"/>
  <c r="J11" i="12"/>
  <c r="D9" i="30" s="1"/>
  <c r="J10" i="12"/>
  <c r="F32" i="4"/>
  <c r="F30" i="4"/>
  <c r="F29" i="4"/>
  <c r="F28" i="4"/>
  <c r="F25" i="4"/>
  <c r="F24" i="4"/>
  <c r="F23" i="4"/>
  <c r="F22" i="4"/>
  <c r="F21" i="4"/>
  <c r="F19" i="4"/>
  <c r="F18" i="4"/>
  <c r="F13" i="4"/>
  <c r="F12" i="4"/>
  <c r="F11" i="4"/>
  <c r="F10" i="4"/>
  <c r="F7" i="4"/>
  <c r="F6" i="4"/>
  <c r="D10" i="30" l="1"/>
  <c r="C60" i="4"/>
  <c r="C59" i="4"/>
  <c r="D58" i="4"/>
  <c r="D59" i="4"/>
  <c r="D60" i="4"/>
  <c r="C58" i="4"/>
  <c r="D61" i="4"/>
  <c r="C62" i="4"/>
  <c r="D62" i="4"/>
  <c r="E54" i="13"/>
  <c r="D54" i="13"/>
  <c r="E9" i="13"/>
  <c r="E25" i="13"/>
  <c r="E30" i="12"/>
  <c r="E22" i="12"/>
  <c r="J22" i="12" s="1"/>
  <c r="D22" i="12"/>
  <c r="J6" i="12"/>
  <c r="J7" i="12"/>
  <c r="K7" i="12" s="1"/>
  <c r="J8" i="12"/>
  <c r="D7" i="30" s="1"/>
  <c r="D12" i="12"/>
  <c r="K6" i="12" l="1"/>
  <c r="D5" i="30"/>
  <c r="D6" i="30" s="1"/>
  <c r="D8" i="30" s="1"/>
  <c r="J27" i="12"/>
  <c r="D12" i="30" s="1"/>
  <c r="D69" i="4"/>
  <c r="J20" i="12"/>
  <c r="D11" i="30" s="1"/>
  <c r="D67" i="4"/>
  <c r="D19" i="12"/>
  <c r="D13" i="30" l="1"/>
  <c r="D9" i="13" l="1"/>
  <c r="D30" i="12" l="1"/>
  <c r="F30" i="12" s="1"/>
  <c r="D22" i="32" l="1"/>
  <c r="C22" i="32"/>
  <c r="D9" i="32"/>
  <c r="D6" i="32"/>
  <c r="F22" i="32" l="1"/>
  <c r="J49" i="18" l="1"/>
  <c r="I35" i="18"/>
  <c r="I34" i="18"/>
  <c r="I32" i="18"/>
  <c r="I31" i="18"/>
  <c r="I30" i="18"/>
  <c r="I29" i="18"/>
  <c r="I28" i="18"/>
  <c r="I22" i="18" l="1"/>
  <c r="I23" i="18"/>
  <c r="I24" i="18"/>
  <c r="I21" i="18"/>
  <c r="I25" i="18" l="1"/>
  <c r="D25" i="18"/>
  <c r="D19" i="32"/>
  <c r="D18" i="32"/>
  <c r="D17" i="32"/>
  <c r="D16" i="32"/>
  <c r="D5" i="32"/>
  <c r="D4" i="32"/>
  <c r="D8" i="32" s="1"/>
  <c r="C19" i="32"/>
  <c r="C18" i="32"/>
  <c r="C17" i="32"/>
  <c r="C16" i="32"/>
  <c r="C21" i="32"/>
  <c r="C6" i="32"/>
  <c r="F6" i="32" s="1"/>
  <c r="F18" i="32" l="1"/>
  <c r="F19" i="32"/>
  <c r="F17" i="32"/>
  <c r="E17" i="32" s="1"/>
  <c r="F16" i="32"/>
  <c r="E16" i="32" s="1"/>
  <c r="D21" i="32"/>
  <c r="D20" i="32"/>
  <c r="D10" i="32"/>
  <c r="C20" i="32"/>
  <c r="F20" i="32" l="1"/>
  <c r="E20" i="32" s="1"/>
  <c r="F21" i="32"/>
  <c r="H6" i="32"/>
  <c r="E6" i="32"/>
  <c r="F35" i="13"/>
  <c r="F34" i="13"/>
  <c r="F33" i="13"/>
  <c r="F32" i="13"/>
  <c r="F31" i="13"/>
  <c r="F30" i="13"/>
  <c r="E45" i="13"/>
  <c r="D45" i="13"/>
  <c r="E43" i="13"/>
  <c r="E42" i="13"/>
  <c r="E41" i="13"/>
  <c r="G31" i="12"/>
  <c r="F31" i="12"/>
  <c r="D31" i="12"/>
  <c r="G29" i="12"/>
  <c r="F29" i="12"/>
  <c r="E29" i="12"/>
  <c r="D29" i="12"/>
  <c r="G22" i="12"/>
  <c r="F22" i="12"/>
  <c r="C4" i="32"/>
  <c r="C5" i="32"/>
  <c r="F5" i="32" s="1"/>
  <c r="C9" i="32"/>
  <c r="G59" i="11"/>
  <c r="C8" i="32" l="1"/>
  <c r="F8" i="32" s="1"/>
  <c r="F9" i="32"/>
  <c r="E9" i="32" s="1"/>
  <c r="F4" i="32"/>
  <c r="H5" i="32"/>
  <c r="E5" i="32"/>
  <c r="H9" i="32" l="1"/>
  <c r="C10" i="32"/>
  <c r="F10" i="32" s="1"/>
  <c r="E8" i="32"/>
  <c r="H8" i="32"/>
  <c r="E4" i="32"/>
  <c r="H4" i="32"/>
  <c r="E10" i="32" l="1"/>
  <c r="H10" i="32"/>
  <c r="E31" i="12"/>
  <c r="D46" i="4" l="1"/>
  <c r="D45" i="4"/>
  <c r="F14" i="4"/>
  <c r="F8" i="4"/>
  <c r="E65" i="4"/>
  <c r="E68" i="4"/>
  <c r="E63" i="4"/>
  <c r="E57" i="4"/>
  <c r="L23" i="4"/>
  <c r="E66" i="4" l="1"/>
  <c r="E70" i="4" s="1"/>
  <c r="E71" i="4" s="1"/>
  <c r="G12" i="15" l="1"/>
  <c r="G7" i="15"/>
  <c r="L40" i="11"/>
  <c r="J41" i="18" l="1"/>
  <c r="J42" i="18"/>
  <c r="J43" i="18"/>
  <c r="J44" i="18"/>
  <c r="J40" i="18"/>
  <c r="E40" i="18" s="1"/>
  <c r="F31" i="4" l="1"/>
  <c r="F33" i="4" s="1"/>
  <c r="G29" i="18" l="1"/>
  <c r="E29" i="18" s="1"/>
  <c r="G30" i="18"/>
  <c r="E30" i="18" s="1"/>
  <c r="G31" i="18"/>
  <c r="E31" i="18" s="1"/>
  <c r="C14" i="11" l="1"/>
  <c r="F20" i="4" l="1"/>
  <c r="D39" i="13" l="1"/>
  <c r="E39" i="13"/>
  <c r="D41" i="13"/>
  <c r="D42" i="13"/>
  <c r="D43" i="13"/>
  <c r="D46" i="13"/>
  <c r="E46" i="13"/>
  <c r="D47" i="13"/>
  <c r="E47" i="13"/>
  <c r="D32" i="13"/>
  <c r="E32" i="13"/>
  <c r="D33" i="13"/>
  <c r="E33" i="13"/>
  <c r="D34" i="13"/>
  <c r="E34" i="13"/>
  <c r="D35" i="13"/>
  <c r="E35" i="13"/>
  <c r="D37" i="13"/>
  <c r="G36" i="11"/>
  <c r="G14" i="11"/>
  <c r="D11" i="18" l="1"/>
  <c r="C11" i="18"/>
  <c r="G12" i="30" l="1"/>
  <c r="E12" i="30" s="1"/>
  <c r="G11" i="30" l="1"/>
  <c r="E11" i="30" s="1"/>
  <c r="G9" i="30"/>
  <c r="G7" i="30"/>
  <c r="E7" i="30" s="1"/>
  <c r="G4" i="30"/>
  <c r="E4" i="30" s="1"/>
  <c r="G10" i="30"/>
  <c r="E10" i="30" s="1"/>
  <c r="G6" i="30" l="1"/>
  <c r="E6" i="30" s="1"/>
  <c r="G5" i="30"/>
  <c r="E5" i="30" s="1"/>
  <c r="G8" i="30" l="1"/>
  <c r="E8" i="30" s="1"/>
  <c r="D23" i="29"/>
  <c r="D25" i="29" s="1"/>
  <c r="D29" i="29" s="1"/>
  <c r="C23" i="29"/>
  <c r="C25" i="29" s="1"/>
  <c r="C29" i="29" s="1"/>
  <c r="G13" i="29"/>
  <c r="E13" i="29" s="1"/>
  <c r="G13" i="13" l="1"/>
  <c r="L10" i="4"/>
  <c r="D7" i="29" l="1"/>
  <c r="D9" i="29" s="1"/>
  <c r="D14" i="29" s="1"/>
  <c r="C7" i="29"/>
  <c r="C9" i="29" s="1"/>
  <c r="C14" i="29" s="1"/>
  <c r="G14" i="29" l="1"/>
  <c r="E14" i="29" s="1"/>
  <c r="G12" i="29"/>
  <c r="E12" i="29" s="1"/>
  <c r="G11" i="29"/>
  <c r="E11" i="29" s="1"/>
  <c r="G10" i="29"/>
  <c r="G9" i="29"/>
  <c r="E9" i="29" s="1"/>
  <c r="G8" i="29"/>
  <c r="E8" i="29" s="1"/>
  <c r="G7" i="29"/>
  <c r="E7" i="29" s="1"/>
  <c r="G6" i="29"/>
  <c r="E6" i="29" s="1"/>
  <c r="G5" i="29"/>
  <c r="E5" i="29" s="1"/>
  <c r="G10" i="24" l="1"/>
  <c r="G29" i="29"/>
  <c r="E29" i="29" s="1"/>
  <c r="G28" i="29"/>
  <c r="E28" i="29" s="1"/>
  <c r="G27" i="29"/>
  <c r="E27" i="29" s="1"/>
  <c r="G26" i="29"/>
  <c r="E26" i="29" s="1"/>
  <c r="G25" i="29"/>
  <c r="E25" i="29" s="1"/>
  <c r="G24" i="29"/>
  <c r="E24" i="29" s="1"/>
  <c r="G23" i="29"/>
  <c r="E23" i="29" s="1"/>
  <c r="G22" i="29"/>
  <c r="E22" i="29" s="1"/>
  <c r="G21" i="29"/>
  <c r="E21" i="29" s="1"/>
  <c r="G20" i="29"/>
  <c r="E20" i="29" s="1"/>
  <c r="D31" i="13" l="1"/>
  <c r="C10" i="18"/>
  <c r="D10" i="18"/>
  <c r="F10" i="18" l="1"/>
  <c r="D22" i="13"/>
  <c r="E22" i="13"/>
  <c r="C67" i="4" l="1"/>
  <c r="C64" i="4"/>
  <c r="E32" i="4" l="1"/>
  <c r="D32" i="4"/>
  <c r="E3" i="15" l="1"/>
  <c r="C18" i="18" l="1"/>
  <c r="G23" i="13" l="1"/>
  <c r="H23" i="13" s="1"/>
  <c r="F13" i="18"/>
  <c r="E13" i="18" s="1"/>
  <c r="G13" i="24"/>
  <c r="E13" i="24" s="1"/>
  <c r="G48" i="13"/>
  <c r="H48" i="13" s="1"/>
  <c r="M22" i="12"/>
  <c r="C68" i="4"/>
  <c r="D68" i="4"/>
  <c r="E31" i="13"/>
  <c r="G35" i="18" l="1"/>
  <c r="E35" i="18" s="1"/>
  <c r="G34" i="18"/>
  <c r="E34" i="18" s="1"/>
  <c r="D12" i="18" l="1"/>
  <c r="C12" i="18"/>
  <c r="D9" i="18"/>
  <c r="C9" i="18"/>
  <c r="D7" i="18"/>
  <c r="C7" i="18"/>
  <c r="C4" i="18"/>
  <c r="C6" i="18" s="1"/>
  <c r="G12" i="12"/>
  <c r="G19" i="12" s="1"/>
  <c r="F4" i="18" l="1"/>
  <c r="D6" i="18"/>
  <c r="E12" i="12"/>
  <c r="F12" i="12"/>
  <c r="C25" i="18"/>
  <c r="F25" i="18"/>
  <c r="J12" i="12" l="1"/>
  <c r="L12" i="12"/>
  <c r="F19" i="12"/>
  <c r="I19" i="12" s="1"/>
  <c r="I12" i="12"/>
  <c r="D8" i="18"/>
  <c r="D14" i="18" s="1"/>
  <c r="C8" i="18"/>
  <c r="C14" i="18" s="1"/>
  <c r="G25" i="18"/>
  <c r="E4" i="18"/>
  <c r="F5" i="18"/>
  <c r="E5" i="18" s="1"/>
  <c r="F7" i="18"/>
  <c r="E7" i="18" s="1"/>
  <c r="F9" i="18"/>
  <c r="F11" i="18"/>
  <c r="F12" i="18"/>
  <c r="E11" i="18" l="1"/>
  <c r="F6" i="18"/>
  <c r="E6" i="18" s="1"/>
  <c r="F8" i="18"/>
  <c r="E8" i="18" s="1"/>
  <c r="E19" i="12" l="1"/>
  <c r="J19" i="12" l="1"/>
  <c r="L19" i="12"/>
  <c r="H17" i="13"/>
  <c r="H16" i="13"/>
  <c r="G11" i="8" l="1"/>
  <c r="G7" i="8"/>
  <c r="D50" i="4" l="1"/>
  <c r="D2" i="13"/>
  <c r="E2" i="13"/>
  <c r="E38" i="13"/>
  <c r="E49" i="13" s="1"/>
  <c r="C13" i="12"/>
  <c r="C14" i="12" s="1"/>
  <c r="C7" i="12"/>
  <c r="E31" i="11"/>
  <c r="D31" i="11"/>
  <c r="E24" i="13" l="1"/>
  <c r="D24" i="13"/>
  <c r="D38" i="13"/>
  <c r="D49" i="13" s="1"/>
  <c r="D50" i="13" l="1"/>
  <c r="G24" i="13"/>
  <c r="E27" i="4"/>
  <c r="D6" i="24" l="1"/>
  <c r="D8" i="24" s="1"/>
  <c r="C6" i="24"/>
  <c r="C8" i="24" s="1"/>
  <c r="G5" i="13" l="1"/>
  <c r="G6" i="13" l="1"/>
  <c r="E41" i="18" l="1"/>
  <c r="E42" i="18"/>
  <c r="E43" i="18"/>
  <c r="G21" i="12" l="1"/>
  <c r="G24" i="12" l="1"/>
  <c r="E21" i="12"/>
  <c r="J21" i="12" s="1"/>
  <c r="D21" i="12"/>
  <c r="L21" i="12" s="1"/>
  <c r="D24" i="12" l="1"/>
  <c r="G26" i="12"/>
  <c r="E24" i="12"/>
  <c r="J24" i="12" s="1"/>
  <c r="E39" i="18"/>
  <c r="L24" i="12" l="1"/>
  <c r="D26" i="12"/>
  <c r="G28" i="12"/>
  <c r="E26" i="12"/>
  <c r="J26" i="12" s="1"/>
  <c r="G3" i="29"/>
  <c r="D3" i="29"/>
  <c r="D19" i="29" s="1"/>
  <c r="C3" i="29"/>
  <c r="C19" i="29" s="1"/>
  <c r="D28" i="12" l="1"/>
  <c r="L26" i="12"/>
  <c r="C26" i="33"/>
  <c r="E28" i="12"/>
  <c r="J28" i="12" s="1"/>
  <c r="F14" i="18"/>
  <c r="E14" i="18" s="1"/>
  <c r="G19" i="29"/>
  <c r="L28" i="12" l="1"/>
  <c r="G9" i="24"/>
  <c r="E9" i="24" s="1"/>
  <c r="G11" i="24"/>
  <c r="E11" i="24" s="1"/>
  <c r="G12" i="24"/>
  <c r="E12" i="24" s="1"/>
  <c r="G4" i="29" l="1"/>
  <c r="E4" i="29" s="1"/>
  <c r="M9" i="12" l="1"/>
  <c r="C69" i="4"/>
  <c r="E24" i="4"/>
  <c r="D24" i="4"/>
  <c r="J27" i="4" s="1"/>
  <c r="P51" i="4"/>
  <c r="E21" i="4"/>
  <c r="C17" i="10" s="1"/>
  <c r="D21" i="4"/>
  <c r="J28" i="4" s="1"/>
  <c r="D56" i="4"/>
  <c r="C56" i="4"/>
  <c r="D55" i="4"/>
  <c r="C55" i="4"/>
  <c r="D54" i="4"/>
  <c r="E25" i="4" s="1"/>
  <c r="C54" i="4"/>
  <c r="D25" i="4" s="1"/>
  <c r="J29" i="4" s="1"/>
  <c r="D53" i="4"/>
  <c r="C53" i="4"/>
  <c r="D52" i="4"/>
  <c r="C52" i="4"/>
  <c r="D51" i="4"/>
  <c r="C51" i="4"/>
  <c r="P47" i="4"/>
  <c r="D47" i="4"/>
  <c r="L50" i="4" s="1"/>
  <c r="M50" i="4" s="1"/>
  <c r="E16" i="15" s="1"/>
  <c r="G16" i="15" s="1"/>
  <c r="J50" i="4"/>
  <c r="K50" i="4" s="1"/>
  <c r="D29" i="4"/>
  <c r="D28" i="4"/>
  <c r="D27" i="4"/>
  <c r="P33" i="4"/>
  <c r="E29" i="4"/>
  <c r="E28" i="4"/>
  <c r="L30" i="4"/>
  <c r="L29" i="4"/>
  <c r="L27" i="4"/>
  <c r="D16" i="4"/>
  <c r="C50" i="4" s="1"/>
  <c r="L4" i="4"/>
  <c r="J4" i="4"/>
  <c r="C63" i="4" l="1"/>
  <c r="L28" i="4"/>
  <c r="J30" i="4"/>
  <c r="D18" i="4"/>
  <c r="J35" i="4" s="1"/>
  <c r="C57" i="4"/>
  <c r="E18" i="4"/>
  <c r="L35" i="4" s="1"/>
  <c r="D63" i="4"/>
  <c r="D57" i="4"/>
  <c r="O50" i="4"/>
  <c r="P50" i="4"/>
  <c r="D19" i="4"/>
  <c r="E19" i="4"/>
  <c r="P35" i="4" l="1"/>
  <c r="C66" i="4"/>
  <c r="D66" i="4"/>
  <c r="D70" i="4" s="1"/>
  <c r="M23" i="4" l="1"/>
  <c r="E20" i="4"/>
  <c r="D71" i="4"/>
  <c r="D20" i="4"/>
  <c r="C70" i="4"/>
  <c r="C71" i="4" s="1"/>
  <c r="E23" i="4" l="1"/>
  <c r="C3" i="10"/>
  <c r="C4" i="10"/>
  <c r="C12" i="10"/>
  <c r="C11" i="10"/>
  <c r="C10" i="10"/>
  <c r="L26" i="4"/>
  <c r="L32" i="4" s="1"/>
  <c r="E22" i="4" s="1"/>
  <c r="D23" i="4"/>
  <c r="J26" i="4" s="1"/>
  <c r="J32" i="4" s="1"/>
  <c r="D22" i="4" s="1"/>
  <c r="G54" i="13"/>
  <c r="H54" i="13" s="1"/>
  <c r="G52" i="13"/>
  <c r="H52" i="13" s="1"/>
  <c r="G51" i="13"/>
  <c r="H51" i="13" s="1"/>
  <c r="G45" i="13"/>
  <c r="H45" i="13" s="1"/>
  <c r="G44" i="13"/>
  <c r="H44" i="13" s="1"/>
  <c r="G43" i="13"/>
  <c r="H43" i="13" s="1"/>
  <c r="G42" i="13"/>
  <c r="H42" i="13" s="1"/>
  <c r="G41" i="13"/>
  <c r="H41" i="13" s="1"/>
  <c r="G40" i="13"/>
  <c r="H40" i="13" s="1"/>
  <c r="G39" i="13"/>
  <c r="H39" i="13" s="1"/>
  <c r="G38" i="13"/>
  <c r="H38" i="13" s="1"/>
  <c r="G37" i="13"/>
  <c r="H37" i="13" s="1"/>
  <c r="G36" i="13"/>
  <c r="H36" i="13" s="1"/>
  <c r="G35" i="13"/>
  <c r="H35" i="13" s="1"/>
  <c r="G34" i="13"/>
  <c r="H34" i="13" s="1"/>
  <c r="G33" i="13"/>
  <c r="H33" i="13" s="1"/>
  <c r="G32" i="13"/>
  <c r="H32" i="13" s="1"/>
  <c r="G31" i="13"/>
  <c r="H31" i="13" s="1"/>
  <c r="G30" i="13"/>
  <c r="H30" i="13" s="1"/>
  <c r="G29" i="13"/>
  <c r="H29" i="13" s="1"/>
  <c r="G28" i="13"/>
  <c r="H28" i="13" s="1"/>
  <c r="G27" i="13"/>
  <c r="H27" i="13" s="1"/>
  <c r="G26" i="13"/>
  <c r="H26" i="13" s="1"/>
  <c r="G25" i="13"/>
  <c r="H25" i="13" s="1"/>
  <c r="H24" i="13"/>
  <c r="G22" i="13"/>
  <c r="H22" i="13" s="1"/>
  <c r="G21" i="13"/>
  <c r="H21" i="13" s="1"/>
  <c r="G20" i="13"/>
  <c r="H20" i="13" s="1"/>
  <c r="G19" i="13"/>
  <c r="H19" i="13" s="1"/>
  <c r="G18" i="13"/>
  <c r="H18" i="13" s="1"/>
  <c r="G15" i="13"/>
  <c r="H15" i="13" s="1"/>
  <c r="G14" i="13"/>
  <c r="H14" i="13" s="1"/>
  <c r="H13" i="13"/>
  <c r="G12" i="13"/>
  <c r="H12" i="13" s="1"/>
  <c r="G11" i="13"/>
  <c r="H11" i="13" s="1"/>
  <c r="G10" i="13"/>
  <c r="G9" i="13"/>
  <c r="H9" i="13" s="1"/>
  <c r="G8" i="13"/>
  <c r="H8" i="13" s="1"/>
  <c r="G7" i="13"/>
  <c r="H7" i="13" s="1"/>
  <c r="G4" i="13"/>
  <c r="H4" i="13" l="1"/>
  <c r="H10" i="13"/>
  <c r="L43" i="4"/>
  <c r="L46" i="4"/>
  <c r="M46" i="4" s="1"/>
  <c r="E15" i="15" s="1"/>
  <c r="G15" i="15" s="1"/>
  <c r="F21" i="12"/>
  <c r="I21" i="12" s="1"/>
  <c r="M32" i="4"/>
  <c r="G7" i="24"/>
  <c r="E7" i="24" s="1"/>
  <c r="M8" i="12"/>
  <c r="M27" i="12"/>
  <c r="M6" i="12"/>
  <c r="M20" i="12"/>
  <c r="M14" i="12"/>
  <c r="M16" i="12"/>
  <c r="M11" i="12"/>
  <c r="M13" i="12"/>
  <c r="M5" i="12"/>
  <c r="M10" i="12"/>
  <c r="F24" i="12" l="1"/>
  <c r="I24" i="12" s="1"/>
  <c r="M21" i="12"/>
  <c r="G5" i="24"/>
  <c r="E5" i="24" s="1"/>
  <c r="M7" i="12"/>
  <c r="M17" i="12"/>
  <c r="F26" i="12" l="1"/>
  <c r="I26" i="12" s="1"/>
  <c r="G13" i="30"/>
  <c r="E13" i="30" s="1"/>
  <c r="G14" i="24"/>
  <c r="E14" i="24" s="1"/>
  <c r="M24" i="12"/>
  <c r="G8" i="24"/>
  <c r="E8" i="24" s="1"/>
  <c r="G6" i="24"/>
  <c r="E6" i="24" s="1"/>
  <c r="D5" i="17"/>
  <c r="C5" i="17"/>
  <c r="D27" i="18"/>
  <c r="C27" i="18"/>
  <c r="F18" i="18"/>
  <c r="F28" i="12" l="1"/>
  <c r="I28" i="12" s="1"/>
  <c r="M28" i="12"/>
  <c r="D20" i="8"/>
  <c r="G5" i="17"/>
  <c r="C4" i="17"/>
  <c r="G4" i="17" s="1"/>
  <c r="D4" i="17"/>
  <c r="D33" i="18" l="1"/>
  <c r="D39" i="18" s="1"/>
  <c r="C33" i="18"/>
  <c r="C39" i="18" s="1"/>
  <c r="M19" i="12" l="1"/>
  <c r="G4" i="24"/>
  <c r="E4" i="24" s="1"/>
  <c r="E44" i="18" l="1"/>
  <c r="M26" i="12" l="1"/>
  <c r="B19" i="10"/>
  <c r="B18" i="10"/>
  <c r="B17" i="10"/>
  <c r="B13" i="10"/>
  <c r="B20" i="10" s="1"/>
  <c r="B12" i="10"/>
  <c r="B11" i="10"/>
  <c r="B10" i="10"/>
  <c r="E4" i="17" l="1"/>
  <c r="E5" i="17"/>
  <c r="D16" i="15"/>
  <c r="E11" i="15" l="1"/>
  <c r="G11" i="15" s="1"/>
  <c r="C18" i="10" l="1"/>
  <c r="C19" i="10"/>
  <c r="C20" i="10" l="1"/>
  <c r="J24" i="4" s="1"/>
  <c r="Q24" i="4" l="1"/>
  <c r="P24" i="4"/>
  <c r="C13" i="10"/>
  <c r="J23" i="4" s="1"/>
  <c r="K23" i="4" l="1"/>
  <c r="C5" i="10"/>
  <c r="C6" i="10" s="1"/>
  <c r="J39" i="4" s="1"/>
  <c r="Q39" i="4" l="1"/>
  <c r="J43" i="4"/>
  <c r="J46" i="4" s="1"/>
  <c r="P23" i="4"/>
  <c r="O23" i="4"/>
  <c r="Q23" i="4"/>
  <c r="P39" i="4" l="1"/>
  <c r="D11" i="15"/>
  <c r="Q43" i="4" l="1"/>
  <c r="K46" i="4"/>
  <c r="O46" i="4" s="1"/>
  <c r="P43" i="4"/>
  <c r="P46" i="4" l="1"/>
  <c r="D15" i="15"/>
  <c r="D12" i="4" l="1"/>
  <c r="C13" i="33" s="1"/>
  <c r="C13" i="8"/>
  <c r="D26" i="11" l="1"/>
  <c r="D13" i="11"/>
  <c r="D15" i="11" s="1"/>
  <c r="C4" i="8" s="1"/>
  <c r="D54" i="11" l="1"/>
  <c r="C9" i="8" s="1"/>
  <c r="D42" i="11"/>
  <c r="D7" i="4"/>
  <c r="C6" i="33" s="1"/>
  <c r="C5" i="8"/>
  <c r="C6" i="8" l="1"/>
  <c r="D11" i="4"/>
  <c r="D28" i="11"/>
  <c r="D6" i="4"/>
  <c r="C5" i="33" s="1"/>
  <c r="D44" i="11"/>
  <c r="C8" i="8"/>
  <c r="C10" i="8" s="1"/>
  <c r="J20" i="4" l="1"/>
  <c r="C11" i="33"/>
  <c r="J7" i="4"/>
  <c r="D8" i="4"/>
  <c r="D56" i="11"/>
  <c r="D10" i="4"/>
  <c r="C10" i="33" s="1"/>
  <c r="J14" i="4" l="1"/>
  <c r="J8" i="4"/>
  <c r="K7" i="4" s="1"/>
  <c r="J11" i="4"/>
  <c r="J17" i="4"/>
  <c r="J18" i="4"/>
  <c r="J21" i="4" l="1"/>
  <c r="D5" i="15"/>
  <c r="K17" i="4"/>
  <c r="K20" i="4" l="1"/>
  <c r="D9" i="15"/>
  <c r="D10" i="15" l="1"/>
  <c r="G53" i="11" l="1"/>
  <c r="H53" i="11" s="1"/>
  <c r="G51" i="11"/>
  <c r="H51" i="11" s="1"/>
  <c r="G50" i="11"/>
  <c r="H50" i="11" s="1"/>
  <c r="G41" i="11"/>
  <c r="H41" i="11" s="1"/>
  <c r="G39" i="11"/>
  <c r="H39" i="11" s="1"/>
  <c r="G38" i="11"/>
  <c r="H38" i="11" s="1"/>
  <c r="G37" i="11"/>
  <c r="H37" i="11" s="1"/>
  <c r="G25" i="11"/>
  <c r="H25" i="11" s="1"/>
  <c r="G24" i="11"/>
  <c r="H24" i="11" s="1"/>
  <c r="G23" i="11"/>
  <c r="H23" i="11" s="1"/>
  <c r="G22" i="11"/>
  <c r="H22" i="11" s="1"/>
  <c r="G21" i="11"/>
  <c r="H21" i="11" s="1"/>
  <c r="G19" i="11"/>
  <c r="H19" i="11" s="1"/>
  <c r="G12" i="11"/>
  <c r="H12" i="11" s="1"/>
  <c r="G11" i="11"/>
  <c r="H11" i="11" s="1"/>
  <c r="G9" i="11"/>
  <c r="H9" i="11" s="1"/>
  <c r="G7" i="11"/>
  <c r="H7" i="11" s="1"/>
  <c r="G8" i="11" l="1"/>
  <c r="H8" i="11" s="1"/>
  <c r="G10" i="11"/>
  <c r="H10" i="11" s="1"/>
  <c r="G48" i="11"/>
  <c r="H48" i="11" s="1"/>
  <c r="G52" i="11"/>
  <c r="H52" i="11" s="1"/>
  <c r="G60" i="11"/>
  <c r="H60" i="11" s="1"/>
  <c r="H14" i="11"/>
  <c r="E13" i="11"/>
  <c r="G6" i="11"/>
  <c r="H6" i="11" s="1"/>
  <c r="G17" i="11"/>
  <c r="H17" i="11" s="1"/>
  <c r="G18" i="11"/>
  <c r="H18" i="11" s="1"/>
  <c r="G34" i="11"/>
  <c r="H34" i="11" s="1"/>
  <c r="G43" i="11"/>
  <c r="H43" i="11" s="1"/>
  <c r="G49" i="11"/>
  <c r="H49" i="11" s="1"/>
  <c r="G61" i="11"/>
  <c r="H61" i="11" s="1"/>
  <c r="G35" i="11"/>
  <c r="H35" i="11" s="1"/>
  <c r="G46" i="11"/>
  <c r="H46" i="11" s="1"/>
  <c r="G40" i="11"/>
  <c r="H40" i="11" s="1"/>
  <c r="G47" i="11"/>
  <c r="H47" i="11" s="1"/>
  <c r="H59" i="11"/>
  <c r="H36" i="11" l="1"/>
  <c r="E42" i="11"/>
  <c r="E44" i="11" s="1"/>
  <c r="E54" i="11"/>
  <c r="E26" i="11"/>
  <c r="E7" i="4" s="1"/>
  <c r="D6" i="33" s="1"/>
  <c r="E11" i="4"/>
  <c r="D9" i="8"/>
  <c r="G54" i="11"/>
  <c r="H54" i="11" s="1"/>
  <c r="E12" i="4"/>
  <c r="D13" i="33" s="1"/>
  <c r="D13" i="8"/>
  <c r="G64" i="11"/>
  <c r="H64" i="11" s="1"/>
  <c r="E63" i="11"/>
  <c r="G58" i="11"/>
  <c r="H58" i="11" s="1"/>
  <c r="D8" i="8"/>
  <c r="G42" i="11"/>
  <c r="H42" i="11" s="1"/>
  <c r="E15" i="11"/>
  <c r="D4" i="8" s="1"/>
  <c r="G4" i="8" s="1"/>
  <c r="G13" i="11"/>
  <c r="H13" i="11" s="1"/>
  <c r="L20" i="4" l="1"/>
  <c r="D11" i="33"/>
  <c r="G26" i="11"/>
  <c r="H26" i="11" s="1"/>
  <c r="D5" i="8"/>
  <c r="E5" i="8" s="1"/>
  <c r="E4" i="8"/>
  <c r="E28" i="11"/>
  <c r="G28" i="11" s="1"/>
  <c r="H28" i="11" s="1"/>
  <c r="E6" i="4"/>
  <c r="D5" i="33" s="1"/>
  <c r="G15" i="11"/>
  <c r="H15" i="11" s="1"/>
  <c r="E65" i="11"/>
  <c r="E13" i="4"/>
  <c r="C12" i="33" s="1"/>
  <c r="D12" i="8"/>
  <c r="D14" i="8" s="1"/>
  <c r="E56" i="11"/>
  <c r="E10" i="4"/>
  <c r="D10" i="33" s="1"/>
  <c r="G44" i="11"/>
  <c r="D10" i="8"/>
  <c r="G9" i="8"/>
  <c r="E9" i="8"/>
  <c r="G8" i="8"/>
  <c r="E8" i="8"/>
  <c r="E13" i="8"/>
  <c r="G13" i="8"/>
  <c r="P20" i="4"/>
  <c r="Q20" i="4"/>
  <c r="H44" i="11" l="1"/>
  <c r="I44" i="11" s="1"/>
  <c r="I41" i="11"/>
  <c r="G5" i="8"/>
  <c r="D6" i="8"/>
  <c r="L7" i="4"/>
  <c r="E8" i="4"/>
  <c r="L11" i="4"/>
  <c r="L18" i="4"/>
  <c r="E14" i="4"/>
  <c r="L14" i="4"/>
  <c r="Q14" i="4" s="1"/>
  <c r="L8" i="4"/>
  <c r="L17" i="4"/>
  <c r="L15" i="4"/>
  <c r="E67" i="11"/>
  <c r="G56" i="11"/>
  <c r="H56" i="11" s="1"/>
  <c r="D15" i="8"/>
  <c r="G10" i="8"/>
  <c r="E10" i="8"/>
  <c r="M7" i="4" l="1"/>
  <c r="E5" i="15" s="1"/>
  <c r="G5" i="15" s="1"/>
  <c r="E6" i="8"/>
  <c r="G6" i="8"/>
  <c r="Q7" i="4"/>
  <c r="P7" i="4"/>
  <c r="M39" i="4"/>
  <c r="E13" i="15" s="1"/>
  <c r="G13" i="15" s="1"/>
  <c r="P8" i="4"/>
  <c r="Q8" i="4"/>
  <c r="M10" i="4"/>
  <c r="P11" i="4"/>
  <c r="Q11" i="4"/>
  <c r="M14" i="4"/>
  <c r="E8" i="15" s="1"/>
  <c r="G8" i="15" s="1"/>
  <c r="P14" i="4"/>
  <c r="J44" i="4"/>
  <c r="E15" i="4"/>
  <c r="L44" i="4"/>
  <c r="M43" i="4" s="1"/>
  <c r="E14" i="15" s="1"/>
  <c r="G14" i="15" s="1"/>
  <c r="E69" i="11"/>
  <c r="M17" i="4"/>
  <c r="Q17" i="4"/>
  <c r="P17" i="4"/>
  <c r="L21" i="4"/>
  <c r="Q18" i="4"/>
  <c r="P18" i="4"/>
  <c r="D17" i="8"/>
  <c r="O7" i="4" l="1"/>
  <c r="E9" i="15"/>
  <c r="G9" i="15" s="1"/>
  <c r="E6" i="15"/>
  <c r="G6" i="15" s="1"/>
  <c r="O17" i="4"/>
  <c r="M20" i="4"/>
  <c r="P21" i="4"/>
  <c r="Q21" i="4"/>
  <c r="P44" i="4"/>
  <c r="Q44" i="4"/>
  <c r="K43" i="4"/>
  <c r="E10" i="15" l="1"/>
  <c r="G10" i="15" s="1"/>
  <c r="O20" i="4"/>
  <c r="O43" i="4"/>
  <c r="D14" i="15"/>
  <c r="D53" i="13" l="1"/>
  <c r="D30" i="4"/>
  <c r="D31" i="4" l="1"/>
  <c r="D33" i="4" s="1"/>
  <c r="C6" i="17"/>
  <c r="D55" i="13"/>
  <c r="D57" i="13" l="1"/>
  <c r="D62" i="13"/>
  <c r="C7" i="17"/>
  <c r="J10" i="4"/>
  <c r="C8" i="17"/>
  <c r="C9" i="17" s="1"/>
  <c r="D34" i="4"/>
  <c r="Q10" i="4" l="1"/>
  <c r="P10" i="4"/>
  <c r="K10" i="4"/>
  <c r="O10" i="4" s="1"/>
  <c r="D6" i="15" l="1"/>
  <c r="G46" i="13" l="1"/>
  <c r="H46" i="13" s="1"/>
  <c r="E50" i="13" l="1"/>
  <c r="G50" i="13" s="1"/>
  <c r="H50" i="13" s="1"/>
  <c r="G47" i="13" l="1"/>
  <c r="H47" i="13" s="1"/>
  <c r="E53" i="13" l="1"/>
  <c r="E30" i="4"/>
  <c r="G49" i="13"/>
  <c r="H49" i="13" s="1"/>
  <c r="E31" i="4" l="1"/>
  <c r="D6" i="17"/>
  <c r="E55" i="13"/>
  <c r="G53" i="13"/>
  <c r="H53" i="13" s="1"/>
  <c r="E57" i="13" l="1"/>
  <c r="G55" i="13"/>
  <c r="H55" i="13" s="1"/>
  <c r="E33" i="4"/>
  <c r="D8" i="17" s="1"/>
  <c r="D7" i="17"/>
  <c r="E6" i="17"/>
  <c r="G6" i="17"/>
  <c r="G8" i="17" l="1"/>
  <c r="E8" i="17"/>
  <c r="G7" i="17"/>
  <c r="E7" i="17"/>
  <c r="E8" i="23" l="1"/>
  <c r="E9" i="23" l="1"/>
  <c r="E10" i="23" s="1"/>
  <c r="D8" i="23"/>
  <c r="D9" i="23" l="1"/>
  <c r="D10" i="23" s="1"/>
  <c r="D17" i="23"/>
  <c r="K8" i="23"/>
  <c r="C17" i="23" l="1"/>
  <c r="C14" i="23"/>
  <c r="C16" i="23"/>
  <c r="C13" i="23"/>
  <c r="G14" i="23"/>
  <c r="G13" i="23"/>
  <c r="G15" i="23" s="1"/>
  <c r="C15" i="23"/>
  <c r="C18" i="23" l="1"/>
  <c r="D62" i="11" l="1"/>
  <c r="D63" i="11" l="1"/>
  <c r="C44" i="33"/>
  <c r="C46" i="33" s="1"/>
  <c r="C12" i="8" l="1"/>
  <c r="D65" i="11"/>
  <c r="D13" i="4"/>
  <c r="G63" i="11"/>
  <c r="H63" i="11" s="1"/>
  <c r="J40" i="4" l="1"/>
  <c r="J15" i="4"/>
  <c r="D14" i="4"/>
  <c r="D15" i="4" s="1"/>
  <c r="D67" i="11"/>
  <c r="G65" i="11"/>
  <c r="H65" i="11" s="1"/>
  <c r="C14" i="8"/>
  <c r="E12" i="8"/>
  <c r="G12" i="8"/>
  <c r="C15" i="8" l="1"/>
  <c r="E14" i="8"/>
  <c r="G14" i="8"/>
  <c r="D69" i="11"/>
  <c r="G67" i="11"/>
  <c r="H67" i="11" s="1"/>
  <c r="K14" i="4"/>
  <c r="P15" i="4"/>
  <c r="Q15" i="4"/>
  <c r="P40" i="4"/>
  <c r="Q40" i="4"/>
  <c r="K39" i="4"/>
  <c r="O39" i="4" l="1"/>
  <c r="D13" i="15"/>
  <c r="D8" i="15"/>
  <c r="O14" i="4"/>
  <c r="C17" i="8"/>
  <c r="G15" i="8"/>
  <c r="E15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Carlos Palacios Rojas</author>
  </authors>
  <commentList>
    <comment ref="B3" authorId="0" shapeId="0" xr:uid="{274ADD00-0C69-4048-884C-A48F156B39CE}">
      <text>
        <r>
          <rPr>
            <b/>
            <sz val="9"/>
            <color indexed="81"/>
            <rFont val="Tahoma"/>
            <family val="2"/>
          </rPr>
          <t>Juan Carlos Palacios Rojas: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<sst xmlns="http://schemas.openxmlformats.org/spreadsheetml/2006/main" count="676" uniqueCount="453">
  <si>
    <t>Pasivos corrientes</t>
  </si>
  <si>
    <t>Pasivos no corrientes</t>
  </si>
  <si>
    <t>Activos corrientes</t>
  </si>
  <si>
    <t>Activos no corrientes</t>
  </si>
  <si>
    <t xml:space="preserve"> </t>
  </si>
  <si>
    <t>INDICADORES FINANCIEROS</t>
  </si>
  <si>
    <t>BALANCE</t>
  </si>
  <si>
    <t>LIQUIDEZ</t>
  </si>
  <si>
    <t>M$</t>
  </si>
  <si>
    <t>LIQUIDEZ CORRIENTE</t>
  </si>
  <si>
    <t>=</t>
  </si>
  <si>
    <t>TOTAL</t>
  </si>
  <si>
    <t>RAZON ACIDA</t>
  </si>
  <si>
    <t>ENDEUDAMIENTO</t>
  </si>
  <si>
    <t>ENDEUDAMIENTO TOTAL</t>
  </si>
  <si>
    <t xml:space="preserve">Pasivo exigible </t>
  </si>
  <si>
    <t>EERR</t>
  </si>
  <si>
    <t>DEUDA A CORTO PLAZO</t>
  </si>
  <si>
    <t xml:space="preserve">Deuda total </t>
  </si>
  <si>
    <t>DEUDA A LARGO PLAZO</t>
  </si>
  <si>
    <t>COBERTURA DE GASTOS FINANCIEROS</t>
  </si>
  <si>
    <t>Resultado antes de imptos e intereses</t>
  </si>
  <si>
    <t>GASTOS FINANCIEROS</t>
  </si>
  <si>
    <t>Gastos financieros</t>
  </si>
  <si>
    <t>R.A.I.I.D.A.I.E.</t>
  </si>
  <si>
    <t>UTILIDAD DESPUES DE IMPUESTO</t>
  </si>
  <si>
    <t>Impuesto Renta</t>
  </si>
  <si>
    <t>R.A.I.I.D.A.I.E</t>
  </si>
  <si>
    <t>Flujo neto total del período</t>
  </si>
  <si>
    <t xml:space="preserve"> Impuestos</t>
  </si>
  <si>
    <t xml:space="preserve"> Intereses (Gastos financieros)</t>
  </si>
  <si>
    <t>Saldo inicial de Efectivo</t>
  </si>
  <si>
    <t>Saldo final del Efectivo</t>
  </si>
  <si>
    <t xml:space="preserve">Items extrordinarios </t>
  </si>
  <si>
    <t xml:space="preserve">RENTABILIDAD </t>
  </si>
  <si>
    <t>RENTABILIDAD DEL PATRIMONIO</t>
  </si>
  <si>
    <t>Utilidad o pérdida del ejercicio</t>
  </si>
  <si>
    <t>RENTABILIDAD DEL ACTIVO</t>
  </si>
  <si>
    <t>Total Activos (promedios)</t>
  </si>
  <si>
    <t>UTILIDAD POR ACCION</t>
  </si>
  <si>
    <t xml:space="preserve">Resultado </t>
  </si>
  <si>
    <t xml:space="preserve">N° de acciones suscritas y pagadas </t>
  </si>
  <si>
    <t>RETORNO DE DIVIDENDOS</t>
  </si>
  <si>
    <t xml:space="preserve">Dividendos pagados </t>
  </si>
  <si>
    <t xml:space="preserve">Precio mercado acción </t>
  </si>
  <si>
    <t>Activo corriente</t>
  </si>
  <si>
    <t>Pasivo corriente</t>
  </si>
  <si>
    <t>ACTIVO CORRIENTE</t>
  </si>
  <si>
    <t>ACTIVO NO  CORRIENTE</t>
  </si>
  <si>
    <t>PASIVO NO CORRIENTE</t>
  </si>
  <si>
    <t>PASIVO  CORRIENTE</t>
  </si>
  <si>
    <t>PARTICIPACION MINORITARIOS</t>
  </si>
  <si>
    <t>Flujo de actividades de operaciones</t>
  </si>
  <si>
    <t>Flujo de actividades de inversión</t>
  </si>
  <si>
    <t>Flujo de actividades de financiación</t>
  </si>
  <si>
    <t>Saldo flujo de caja y efectivo</t>
  </si>
  <si>
    <t>Pasivo no corriente</t>
  </si>
  <si>
    <t xml:space="preserve"> Utilidad </t>
  </si>
  <si>
    <t>Ingresos de explotacion</t>
  </si>
  <si>
    <t>Ingresos Ordinarios, Total</t>
  </si>
  <si>
    <t>Costo de Ventas</t>
  </si>
  <si>
    <t>Depreciacion  y amoritzaciones</t>
  </si>
  <si>
    <t>Depreciación y amortización</t>
  </si>
  <si>
    <t>Interes minoritarios</t>
  </si>
  <si>
    <t>Liquidez</t>
  </si>
  <si>
    <t>veces</t>
  </si>
  <si>
    <t>Endeudamiento</t>
  </si>
  <si>
    <t>Deuda corriente</t>
  </si>
  <si>
    <t>Deuda no corriente</t>
  </si>
  <si>
    <t>Rentabilidad</t>
  </si>
  <si>
    <t>%</t>
  </si>
  <si>
    <t>$</t>
  </si>
  <si>
    <t>Total activos</t>
  </si>
  <si>
    <t>Total pasivos</t>
  </si>
  <si>
    <t>FLUJO</t>
  </si>
  <si>
    <t>Utilidad antes de impuestos (incluye minoritario)</t>
  </si>
  <si>
    <t>Resultado de Explotacion</t>
  </si>
  <si>
    <t>Ingresos Financieros</t>
  </si>
  <si>
    <t>Costos Financieros</t>
  </si>
  <si>
    <t>Diferencia de Cambio</t>
  </si>
  <si>
    <t>Resultado por Unidades Reajustables</t>
  </si>
  <si>
    <t>Resultado Financiero</t>
  </si>
  <si>
    <t>Otros Gastos Distintos de la Operación</t>
  </si>
  <si>
    <t>Resultado antes de Impuesto</t>
  </si>
  <si>
    <t>Impuestos a las Ganancias</t>
  </si>
  <si>
    <t>Interes Minoritario</t>
  </si>
  <si>
    <t>Resultado del Ejercicio</t>
  </si>
  <si>
    <t>Ganancias en venta de activos no corrientes</t>
  </si>
  <si>
    <t>GANANCIAS  tenedores de instrumentos</t>
  </si>
  <si>
    <t>Productos no regulados no sanitarios</t>
  </si>
  <si>
    <t>Patrimonio promedio controladora</t>
  </si>
  <si>
    <t>Gastos por beneficios a los empleados</t>
  </si>
  <si>
    <t>Gastos por depreciación y amortización</t>
  </si>
  <si>
    <t>Otros gastos, por naturaleza</t>
  </si>
  <si>
    <t>Patrimonio atribuible a los propietarios de la controladora</t>
  </si>
  <si>
    <t>Participaciones no controladoras</t>
  </si>
  <si>
    <t>Patrimonio total</t>
  </si>
  <si>
    <t>Ingresos financieros</t>
  </si>
  <si>
    <t>PATRIMONIO CONTROLADORA</t>
  </si>
  <si>
    <t xml:space="preserve">Ingresos  de actividades ordinarias, total </t>
  </si>
  <si>
    <t>Materias primas y consumibles utilizados</t>
  </si>
  <si>
    <t>Reversión de pérdidas  por deterioro de valor (pérdidas por deterioro de valor)  reconocidas en el resultado del período</t>
  </si>
  <si>
    <t>Otros gastos</t>
  </si>
  <si>
    <t>Ganancia atribuible a los propietarios de la controladora</t>
  </si>
  <si>
    <t>Acum Junio 2010</t>
  </si>
  <si>
    <t>ACTIVOS</t>
  </si>
  <si>
    <t>Nota</t>
  </si>
  <si>
    <t>ACTIVOS CORRIENTES</t>
  </si>
  <si>
    <t>Efectivo y equivalentes al efectivo</t>
  </si>
  <si>
    <t>Otros activos no financieros</t>
  </si>
  <si>
    <t>Deudores comerciales y otras cuentas por cobrar</t>
  </si>
  <si>
    <t>Cuentas por cobrar a entidades relacionadas</t>
  </si>
  <si>
    <t>Inventarios</t>
  </si>
  <si>
    <t>Total de activos corrientes distintos de los activos o grupos de activos para su disposición clasificados como mantenidos para la venta o como mantenidos para distribuir a los propietarios</t>
  </si>
  <si>
    <t>ACTIVOS CORRIENTES TOTALES</t>
  </si>
  <si>
    <t>Activos intangibles distintos de la plusvalía</t>
  </si>
  <si>
    <t>Plusvalía</t>
  </si>
  <si>
    <t>Propiedades, planta y equipo</t>
  </si>
  <si>
    <t>TOTAL DE ACTIVOS NO CORRIENTES</t>
  </si>
  <si>
    <t>PATRIMONIO Y PASIVOS</t>
  </si>
  <si>
    <t>PASIVOS CORRIENTES</t>
  </si>
  <si>
    <t>Cuentas comerciales y otras cuentas por pagar</t>
  </si>
  <si>
    <t>Cuentas por pagar a entidades relacionadas</t>
  </si>
  <si>
    <t>Pasivos por impuestos</t>
  </si>
  <si>
    <t>PASIVOS CORRIENTES TOTALES</t>
  </si>
  <si>
    <t>PASIVOS NO CORRIENTES</t>
  </si>
  <si>
    <t>Otras provisiones</t>
  </si>
  <si>
    <t>Pasivo por impuestos diferidos</t>
  </si>
  <si>
    <t>Otras cuentas por pagar</t>
  </si>
  <si>
    <t>TOTAL PASIVOS</t>
  </si>
  <si>
    <t>Capital emitido</t>
  </si>
  <si>
    <t>Ganancias acumuladas</t>
  </si>
  <si>
    <t>Otras participaciones en el patrimonio</t>
  </si>
  <si>
    <t>Resultados por unidades de reajuste</t>
  </si>
  <si>
    <t>Ganancia</t>
  </si>
  <si>
    <t xml:space="preserve">Ganancia </t>
  </si>
  <si>
    <t xml:space="preserve">Ganancias por acción básica </t>
  </si>
  <si>
    <t>Clases de cobros por actividades de operación</t>
  </si>
  <si>
    <t>Cobros procedentes de las ventas de bienes y prestación de servicios</t>
  </si>
  <si>
    <t>Cobros procedentes de contratos mantenidos con propósitos de intermediación o para negociar</t>
  </si>
  <si>
    <t>Cobros procedentes de regalías, cuotas, comisiones y otros ingresos de actividades ordinarias</t>
  </si>
  <si>
    <t>Cobros procedentes de primas y prestaciones, anualidades y otros beneficios de pólizas suscritas</t>
  </si>
  <si>
    <t>Otros cobros por actividades de operación</t>
  </si>
  <si>
    <t>Pagos a proveedores por el suministro de bienes y servicios</t>
  </si>
  <si>
    <t>Pagos procedentes de contratos mantenidos para intermediación o para negociar</t>
  </si>
  <si>
    <t>Pagos a y por cuenta de los empleados</t>
  </si>
  <si>
    <t>Pagos por primas y prestaciones, anualidades y otras obligaciones derivadas de las pólizas suscritas</t>
  </si>
  <si>
    <t>Otros pagos por actividades de operación</t>
  </si>
  <si>
    <t>Dividendos pagados</t>
  </si>
  <si>
    <t>Dividendos recibidos</t>
  </si>
  <si>
    <t>Intereses pagados</t>
  </si>
  <si>
    <t>Intereses recibidos</t>
  </si>
  <si>
    <t>Préstamos a entidades relacionadas</t>
  </si>
  <si>
    <t>Compras de propiedades, planta y equipo</t>
  </si>
  <si>
    <t>Compras de activos intangibles</t>
  </si>
  <si>
    <t>Importes procedentes de subvenciones del gobierno</t>
  </si>
  <si>
    <t>Impuestos a las ganancias reembolsados (pagados)</t>
  </si>
  <si>
    <t>Otras entradas (salidas) de efectivo</t>
  </si>
  <si>
    <t>Importes procedentes de la emisión de acciones</t>
  </si>
  <si>
    <t>Importes procedentes de la emisión de otros instrumentos de patrimonio</t>
  </si>
  <si>
    <t>Pagos por adquirir o rescatar las acciones de la entidad</t>
  </si>
  <si>
    <t>Pagos por otras participaciones en el patrimonio</t>
  </si>
  <si>
    <t>Importes procedentes de préstamos de largo plazo</t>
  </si>
  <si>
    <t>Importes procedentes de préstamos de corto plazo</t>
  </si>
  <si>
    <t>Préstamos de entidades relacionadas</t>
  </si>
  <si>
    <t>Pagos de pasivos por arrendamientos financieros</t>
  </si>
  <si>
    <t>Pagos de préstamos a entidades relacionadas</t>
  </si>
  <si>
    <t>Efectos de la variación en la tasa de cambio sobre el efectivo y equivalentes al efectivo</t>
  </si>
  <si>
    <t>EcoRiles S.A.</t>
  </si>
  <si>
    <t>Aguas del Maipo S.A.</t>
  </si>
  <si>
    <t>Ingresos Ordinarios</t>
  </si>
  <si>
    <t>Aguas Andinas Consolidado</t>
  </si>
  <si>
    <t>Análisis Razonado</t>
  </si>
  <si>
    <t>RESULTADO POR NATURALEZA</t>
  </si>
  <si>
    <t>% Var.</t>
  </si>
  <si>
    <t>Activos</t>
  </si>
  <si>
    <t>Total pasivos y patrimonio</t>
  </si>
  <si>
    <t>Actividades de la operación</t>
  </si>
  <si>
    <t>Actividades de inversión</t>
  </si>
  <si>
    <t>Actividades de financiación</t>
  </si>
  <si>
    <t>Saldo final de efectivo</t>
  </si>
  <si>
    <t>Razón ácida</t>
  </si>
  <si>
    <t>Endeudamiento total</t>
  </si>
  <si>
    <t>Costos y Gastos de Operación</t>
  </si>
  <si>
    <t>EBITDA</t>
  </si>
  <si>
    <t>Depreciación y Amortización</t>
  </si>
  <si>
    <t>Resultado de Explotación</t>
  </si>
  <si>
    <t>Resultado Financiero*</t>
  </si>
  <si>
    <t>Utilidad Neta</t>
  </si>
  <si>
    <t>Ventas</t>
  </si>
  <si>
    <t>Participación</t>
  </si>
  <si>
    <t>Total</t>
  </si>
  <si>
    <t>Diferencia</t>
  </si>
  <si>
    <t>Clientes</t>
  </si>
  <si>
    <t>Liquidez corriente</t>
  </si>
  <si>
    <t> Moneda</t>
  </si>
  <si>
    <t> Total</t>
  </si>
  <si>
    <t>12 meses</t>
  </si>
  <si>
    <t>AFRs</t>
  </si>
  <si>
    <t>Retorno de dividendos (*)</t>
  </si>
  <si>
    <t>Resultados</t>
  </si>
  <si>
    <t>Análisis de Ingresos</t>
  </si>
  <si>
    <t>Servicios No-Sanitarios</t>
  </si>
  <si>
    <t>Total patrimonio</t>
  </si>
  <si>
    <t>Totales</t>
  </si>
  <si>
    <t>Pasivos y patrimonio</t>
  </si>
  <si>
    <t>1 a 3 años</t>
  </si>
  <si>
    <t>3 a 5 años</t>
  </si>
  <si>
    <t>más de 5 años</t>
  </si>
  <si>
    <t>Variable</t>
  </si>
  <si>
    <t>Fija</t>
  </si>
  <si>
    <t>Cobertura gastos financieros anualizado</t>
  </si>
  <si>
    <t>Rentabilidad del patrimonio atribuible a los propietarios de la controladora anualizado</t>
  </si>
  <si>
    <t>Rentabilidad activos anualizado</t>
  </si>
  <si>
    <t>Utilidad por acción anualizado</t>
  </si>
  <si>
    <t>Estado de Flujo de efectivo directo</t>
  </si>
  <si>
    <t>Clases de pagos en efectivo procedentes de actividades de operación</t>
  </si>
  <si>
    <t>Flujos de efectivo procedentes de (utilizados en) actividades de inversión</t>
  </si>
  <si>
    <t>Reembolsos de préstamos</t>
  </si>
  <si>
    <t>Incremento (disminución) neto de efectivo y equivalentes al efectivo</t>
  </si>
  <si>
    <t>Efectivo y equivalentes al efectivo al principio del periodo</t>
  </si>
  <si>
    <t>Efectivo y equivalentes al efectivo al final del periodo</t>
  </si>
  <si>
    <t>Gasto por impuestos</t>
  </si>
  <si>
    <t>Interconexiones*</t>
  </si>
  <si>
    <t>Bonos</t>
  </si>
  <si>
    <t>Préstamos</t>
  </si>
  <si>
    <t>Impuestos a las ganancias pagados (reembolsados)</t>
  </si>
  <si>
    <t>Importes procedentes de ventas de activos intangibles</t>
  </si>
  <si>
    <t xml:space="preserve">       Participaciones no controladoras</t>
  </si>
  <si>
    <t>Otros pasivos financieros</t>
  </si>
  <si>
    <t>Provisiones por beneficios a los empleados</t>
  </si>
  <si>
    <t>Otros pasivos no financieros</t>
  </si>
  <si>
    <t xml:space="preserve">Primas de emisión </t>
  </si>
  <si>
    <t>Variación en</t>
  </si>
  <si>
    <t>Periodo</t>
  </si>
  <si>
    <t>Trimestre</t>
  </si>
  <si>
    <t>Estado de Resultados (M$)</t>
  </si>
  <si>
    <t>Inversiones (M$)</t>
  </si>
  <si>
    <t>Composición por instrumento</t>
  </si>
  <si>
    <t>Composición por tasas</t>
  </si>
  <si>
    <t>Otros activos financieros</t>
  </si>
  <si>
    <t>Activos por impuestos</t>
  </si>
  <si>
    <t>Derechos por cobrar</t>
  </si>
  <si>
    <t>Activo por impuestos diferidos</t>
  </si>
  <si>
    <t>TOTAL DE ACTIVOS</t>
  </si>
  <si>
    <t>TOTAL DE PASIVOS NO CORRIENTES</t>
  </si>
  <si>
    <t>PATRIMONIO</t>
  </si>
  <si>
    <t xml:space="preserve">PATRIMONIO TOTAL </t>
  </si>
  <si>
    <t>TOTAL DE PATRIMONIO Y PASIVOS</t>
  </si>
  <si>
    <t xml:space="preserve">Costos financieros </t>
  </si>
  <si>
    <t>Ganancia antes de impuestos</t>
  </si>
  <si>
    <t xml:space="preserve">      Gasto por impuestos a las ganancias</t>
  </si>
  <si>
    <t>Ganancia procedente de operaciones continuadas</t>
  </si>
  <si>
    <t>Ganancia atribuible a</t>
  </si>
  <si>
    <t>Ganancia atribuible a participaciones no controladoras</t>
  </si>
  <si>
    <t xml:space="preserve">Ganancias por acción </t>
  </si>
  <si>
    <t>Resultados Acumulados Segmento Agua</t>
  </si>
  <si>
    <t>Resultados Acumulados Segmento No Agua</t>
  </si>
  <si>
    <t>Flujo neto del ejercicio</t>
  </si>
  <si>
    <t>Deuda Financiera M$</t>
  </si>
  <si>
    <t>Agua potable</t>
  </si>
  <si>
    <t>Aguas servidas</t>
  </si>
  <si>
    <t>Ingresos ordinarios</t>
  </si>
  <si>
    <t>Costos y gastos de operación</t>
  </si>
  <si>
    <t>Resultado de explotación</t>
  </si>
  <si>
    <t>Otras ganancias</t>
  </si>
  <si>
    <t>Resultado financiero*</t>
  </si>
  <si>
    <t>Utilidad neta</t>
  </si>
  <si>
    <t xml:space="preserve">Agua potable </t>
  </si>
  <si>
    <t>Recolección aguas servidas</t>
  </si>
  <si>
    <t>Tratamiento y disposición AS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</si>
  <si>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>3</t>
    </r>
    <r>
      <rPr>
        <b/>
        <sz val="9"/>
        <color rgb="FF44546A"/>
        <rFont val="Calibri"/>
        <family val="2"/>
      </rPr>
      <t>)</t>
    </r>
  </si>
  <si>
    <t>Ingresos externos</t>
  </si>
  <si>
    <t>Ingresos segmentos</t>
  </si>
  <si>
    <t>Otras ganancias (pérdidas)</t>
  </si>
  <si>
    <t>Renovación de redes de agua potable</t>
  </si>
  <si>
    <t>Renovación de redes de aguas servidas</t>
  </si>
  <si>
    <t>Estados de Flujos de Efectivo (M$)</t>
  </si>
  <si>
    <t>Dividendos: indicar pago últimos 12 meses histórico</t>
  </si>
  <si>
    <t xml:space="preserve">      % Var.</t>
  </si>
  <si>
    <t>Pasivo por arrendamientos</t>
  </si>
  <si>
    <t xml:space="preserve">Activos no corrientes mantenidos para la venta </t>
  </si>
  <si>
    <t>ACTIVOS NO CORRIENTES</t>
  </si>
  <si>
    <t>Total de pasivos corrientes distintos de los pasivos incluidos en grupos de pasivos para su disposición clasificados como mantenidos para la venta</t>
  </si>
  <si>
    <t xml:space="preserve">ESTADOS DE RESULTADOS POR NATURALEZA </t>
  </si>
  <si>
    <t>Ingresos de actividades ordinarias</t>
  </si>
  <si>
    <t>9-11</t>
  </si>
  <si>
    <t>Otras (Pérdidas) Ganancias</t>
  </si>
  <si>
    <t>Control</t>
  </si>
  <si>
    <t>Saldos contables</t>
  </si>
  <si>
    <t>TOTAL ACTIVO</t>
  </si>
  <si>
    <t>Anam S.A.</t>
  </si>
  <si>
    <t>Importes procedentes de ventas de propiedades, planta y equipo</t>
  </si>
  <si>
    <t>Activos por derecho de uso</t>
  </si>
  <si>
    <t>Pasivos por arrendamientos</t>
  </si>
  <si>
    <t>Ganancias (pérdidas) de actividades operacionales</t>
  </si>
  <si>
    <t>Ganancias (pérdidas) de cambio en moneda extranjera</t>
  </si>
  <si>
    <t>Miles $</t>
  </si>
  <si>
    <t>Bono</t>
  </si>
  <si>
    <t>AFR</t>
  </si>
  <si>
    <t>Pasivo por arrendamiento</t>
  </si>
  <si>
    <t>Préstamos bancarios</t>
  </si>
  <si>
    <t>Aportes financieros reembolsables</t>
  </si>
  <si>
    <t xml:space="preserve">Total </t>
  </si>
  <si>
    <t>Préstamos bancarios variable</t>
  </si>
  <si>
    <t>Préstamos bancarios fijo</t>
  </si>
  <si>
    <t>Inversiones contabilizadas utilizando el método de la partic</t>
  </si>
  <si>
    <t>Participación en las ganancias (pérdidas) de asociadas y negocion conjuntos</t>
  </si>
  <si>
    <t>Ganancia (pérdida) procedente de operaciones discontinuadas</t>
  </si>
  <si>
    <t>Eliminación de los flujos de las operaciones discontinuadas</t>
  </si>
  <si>
    <t>Flujos de efectivo procedentes (utilizados en) operaciones</t>
  </si>
  <si>
    <t>Flujos de efectivo procedentes de (utilizados en) actividades de operación</t>
  </si>
  <si>
    <t>Importes procedentes de préstamos, clasificados como actividades de financiación</t>
  </si>
  <si>
    <t>Flujos de efectivo procedentes de (utilizados en) actividades de financiación</t>
  </si>
  <si>
    <t xml:space="preserve">Incremento (disminución) en el efectivo y equivalentes al efectivo, antes del efecto de los cambios en la tasa de cambio </t>
  </si>
  <si>
    <t>Eliminación de los flujos de financiación discontinuadas</t>
  </si>
  <si>
    <t>Operaciones discontinuadas</t>
  </si>
  <si>
    <t>Pasivos no corrientes mantenidos para la venta</t>
  </si>
  <si>
    <t>Total otros pasivos financieros</t>
  </si>
  <si>
    <t>Total pasivos por arrendamiento</t>
  </si>
  <si>
    <t>&gt;200%</t>
  </si>
  <si>
    <t>Otras reservas</t>
  </si>
  <si>
    <t xml:space="preserve">Pérdidas por deterioro de valor </t>
  </si>
  <si>
    <t>4T20</t>
  </si>
  <si>
    <t>4T20 - 4T19</t>
  </si>
  <si>
    <t>Pérdidas por deterioro de valor</t>
  </si>
  <si>
    <t>Sondajes y refuerzos de sistema de abastecimiento de agua</t>
  </si>
  <si>
    <t>interes minoritario</t>
  </si>
  <si>
    <t>4T21</t>
  </si>
  <si>
    <t>Dic-21</t>
  </si>
  <si>
    <t>Reposición de activos de Biofactorías La Farfana-Trebal</t>
  </si>
  <si>
    <t>Renovación de arranques y medidores</t>
  </si>
  <si>
    <t>Hidrogistica S.A.</t>
  </si>
  <si>
    <t>AR</t>
  </si>
  <si>
    <t xml:space="preserve">Derivado </t>
  </si>
  <si>
    <t>Dic-22</t>
  </si>
  <si>
    <t>Mes de pago: dic 22</t>
  </si>
  <si>
    <t xml:space="preserve">EUR </t>
  </si>
  <si>
    <t xml:space="preserve">Forward </t>
  </si>
  <si>
    <t>2023 / 2022</t>
  </si>
  <si>
    <t xml:space="preserve">         Dic. 22</t>
  </si>
  <si>
    <t>Plan de eficiencia hidráulica</t>
  </si>
  <si>
    <t>Ampliación planta de tratamiento de aguas servidas Paine</t>
  </si>
  <si>
    <t xml:space="preserve">AR Control de gestión </t>
  </si>
  <si>
    <t>01-04-2023
30-06-2023</t>
  </si>
  <si>
    <t>Ejercicio 2022</t>
  </si>
  <si>
    <t>Mes de pago: mayo 22</t>
  </si>
  <si>
    <t>Mes de pago: abr 23</t>
  </si>
  <si>
    <t>Dic 22 - Dic 21</t>
  </si>
  <si>
    <t>Mayor venta de AF</t>
  </si>
  <si>
    <t>Menor compra de AF</t>
  </si>
  <si>
    <t>Menor compra de de intg</t>
  </si>
  <si>
    <t>dividendos pagados</t>
  </si>
  <si>
    <t>Impuestos reembolsados</t>
  </si>
  <si>
    <t>Mayor pago interes deuda instituciones financieras moneda nacional (mes a mes mayor)</t>
  </si>
  <si>
    <t>Mayor ingreso por inversiones financieras</t>
  </si>
  <si>
    <t>Mas pago de IVA</t>
  </si>
  <si>
    <t>Mas pago a proveedores y aumento en pago de seguros (aumento de volumen y precio)</t>
  </si>
  <si>
    <t>Mayor cobro (aumento de tarifa, gestion de cobro)</t>
  </si>
  <si>
    <t>Interés minoritario</t>
  </si>
  <si>
    <t>Renovación de filtros Vizcachitas - Tagle</t>
  </si>
  <si>
    <t>Gestión avanzada de pozos</t>
  </si>
  <si>
    <t>M</t>
  </si>
  <si>
    <t>Ganancias por acción básica en operaciones continuadas ()</t>
  </si>
  <si>
    <t>Acuerdo extrajudicial ESSAL 10.249.330.833</t>
  </si>
  <si>
    <t>En 2022 Obtención Otros Préstamos Empresas Relac en cordillera por 2.302.000.000, a la fecha no hay tales flujos.</t>
  </si>
  <si>
    <t xml:space="preserve">     * Incluye ingresos financieros, costos financieros, diferencias de cambio y resultados por unidades de reajuste</t>
  </si>
  <si>
    <t>* Incluye ingresos financieros, costos financieros, diferencias de cambio y resultados por unidades de reajuste</t>
  </si>
  <si>
    <t>(Miles de $)</t>
  </si>
  <si>
    <t>Interes minoritario</t>
  </si>
  <si>
    <t>Efectivo y equivalentes al efectivo al final del periodo 4 167.186.100</t>
  </si>
  <si>
    <t>Detalle de costos (M$)</t>
  </si>
  <si>
    <t>Sept. 23</t>
  </si>
  <si>
    <t>Sept. 22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</si>
  <si>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Materias primas y consumibles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</si>
  <si>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Beneficios a los empleados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</si>
  <si>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Otros gastos por naturaleza</t>
    </r>
  </si>
  <si>
    <t>Total costos</t>
  </si>
  <si>
    <t>* Las perdidas por deterioro de valor corresponden a provisión por deudores incobrables</t>
  </si>
  <si>
    <t xml:space="preserve">    % Var.</t>
  </si>
  <si>
    <t xml:space="preserve">       2023 / 2022</t>
  </si>
  <si>
    <r>
      <t>a)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Ingresos financieros</t>
    </r>
  </si>
  <si>
    <r>
      <t>b)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Costos financieros</t>
    </r>
  </si>
  <si>
    <r>
      <t>c)</t>
    </r>
    <r>
      <rPr>
        <sz val="7"/>
        <color rgb="FF44546A"/>
        <rFont val="Times New Roman"/>
        <family val="1"/>
      </rPr>
      <t xml:space="preserve">        </t>
    </r>
    <r>
      <rPr>
        <sz val="9"/>
        <color rgb="FF44546A"/>
        <rFont val="Calibri"/>
        <family val="2"/>
      </rPr>
      <t>Diferencias de cambio</t>
    </r>
  </si>
  <si>
    <t>&lt;(200%)</t>
  </si>
  <si>
    <r>
      <t>d)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Resultados por unidad de reajustes</t>
    </r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</si>
  <si>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Otras ganancias (pérdidas)</t>
    </r>
  </si>
  <si>
    <r>
      <t>f)</t>
    </r>
    <r>
      <rPr>
        <sz val="7"/>
        <color rgb="FF44546A"/>
        <rFont val="Times New Roman"/>
        <family val="1"/>
      </rPr>
      <t xml:space="preserve">         </t>
    </r>
    <r>
      <rPr>
        <sz val="9"/>
        <color rgb="FF44546A"/>
        <rFont val="Calibri"/>
        <family val="2"/>
      </rPr>
      <t>Gastos por impuestos a las ganancias</t>
    </r>
  </si>
  <si>
    <r>
      <t>2.1</t>
    </r>
    <r>
      <rPr>
        <i/>
        <sz val="7"/>
        <color rgb="FF44546A"/>
        <rFont val="Times New Roman"/>
        <family val="1"/>
      </rPr>
      <t xml:space="preserve"> </t>
    </r>
    <r>
      <rPr>
        <i/>
        <sz val="13"/>
        <color rgb="FF44546A"/>
        <rFont val="Calibri"/>
        <family val="2"/>
      </rPr>
      <t>Análisis de resultado financiero y otros</t>
    </r>
  </si>
  <si>
    <r>
      <t>2.1</t>
    </r>
    <r>
      <rPr>
        <i/>
        <sz val="7"/>
        <color rgb="FF44546A"/>
        <rFont val="Times New Roman"/>
        <family val="1"/>
      </rPr>
      <t xml:space="preserve"> </t>
    </r>
    <r>
      <rPr>
        <i/>
        <sz val="13"/>
        <color rgb="FF44546A"/>
        <rFont val="Calibri"/>
        <family val="2"/>
      </rPr>
      <t>Análisis de gastos</t>
    </r>
  </si>
  <si>
    <r>
      <rPr>
        <b/>
        <sz val="7"/>
        <color rgb="FF455369"/>
        <rFont val="Times New Roman"/>
        <family val="1"/>
      </rPr>
      <t xml:space="preserve">     </t>
    </r>
    <r>
      <rPr>
        <b/>
        <sz val="9"/>
        <color rgb="FF44546A"/>
        <rFont val="Calibri"/>
        <family val="2"/>
      </rPr>
      <t>Resultado Financiero (Miles de $)</t>
    </r>
  </si>
  <si>
    <t xml:space="preserve">    Total Resultado Financiero</t>
  </si>
  <si>
    <t>(*) El precio de la acción a septiembre de 2023 asciende a $667,83, en tanto que a diciembre de 2022 asciende a $475,33.</t>
  </si>
  <si>
    <t>Dic-23</t>
  </si>
  <si>
    <t>31-12-2022</t>
  </si>
  <si>
    <t>Dic 23 -Dic 22</t>
  </si>
  <si>
    <t>Ganancias por deterioro y reversos de pérdidas por deterioro (Pérdidas por deterioro) determinado de acuerdo con NIFF 9  sobre activos financieros</t>
  </si>
  <si>
    <t>Mes de pago: dic 23</t>
  </si>
  <si>
    <t>Periodo dic 2023 - dic 2022</t>
  </si>
  <si>
    <t>Acum dic 2022</t>
  </si>
  <si>
    <t>Acum dic 2023</t>
  </si>
  <si>
    <t>Dic. 23</t>
  </si>
  <si>
    <t>Dic. 22</t>
  </si>
  <si>
    <t xml:space="preserve">         Dic. 23</t>
  </si>
  <si>
    <t xml:space="preserve">Estados de situación financiera </t>
  </si>
  <si>
    <t xml:space="preserve"> Activos corrientes </t>
  </si>
  <si>
    <t xml:space="preserve"> Activos no corrientes </t>
  </si>
  <si>
    <t xml:space="preserve"> Total Activos </t>
  </si>
  <si>
    <t xml:space="preserve"> PASIVOS  </t>
  </si>
  <si>
    <t xml:space="preserve"> Pasivos corrientes </t>
  </si>
  <si>
    <t xml:space="preserve"> Pasivos no corrientes </t>
  </si>
  <si>
    <t xml:space="preserve"> Patrimonio </t>
  </si>
  <si>
    <t xml:space="preserve"> Participaciones minoritarias </t>
  </si>
  <si>
    <t xml:space="preserve"> Total Pasivos y Patrimonio </t>
  </si>
  <si>
    <t xml:space="preserve"> ESTADO DE RESULTADOS INTEGRALES </t>
  </si>
  <si>
    <t xml:space="preserve"> Ingresos ordinarios </t>
  </si>
  <si>
    <t xml:space="preserve"> Costo de operación </t>
  </si>
  <si>
    <t xml:space="preserve"> Resultado financiero </t>
  </si>
  <si>
    <t xml:space="preserve"> Otros distintos de la operación </t>
  </si>
  <si>
    <t xml:space="preserve"> Impuesto a la renta </t>
  </si>
  <si>
    <t xml:space="preserve"> Participación minoritaria </t>
  </si>
  <si>
    <t xml:space="preserve"> Ganancia atribuible a los propietarios de la controladora  </t>
  </si>
  <si>
    <t xml:space="preserve"> ESTADO DE FLUJO EFECTIVO </t>
  </si>
  <si>
    <t xml:space="preserve"> Flujos de efectivo procedente de (utilizados en) de actividades de operación </t>
  </si>
  <si>
    <t xml:space="preserve"> Flujos de efectivo procedente de (utilizados en) de actividades de inversión </t>
  </si>
  <si>
    <t xml:space="preserve"> Flujos de efectivo procedente de (utilizados en) de actividades de financiación </t>
  </si>
  <si>
    <t xml:space="preserve"> Incremento (disminución) neto en efectivo y equivalente al   efectivo </t>
  </si>
  <si>
    <t xml:space="preserve"> Efectivo y equivalente al efectivo al inicio del periodo</t>
  </si>
  <si>
    <t>Efectivo y equivalente al efectivo al final del periodo</t>
  </si>
  <si>
    <t xml:space="preserve"> ESTADO DE CAMBIOS EN EL PATRIMONIO</t>
  </si>
  <si>
    <t xml:space="preserve"> Capital emitido</t>
  </si>
  <si>
    <t xml:space="preserve"> Ganancias (pérdidas) acumuladas</t>
  </si>
  <si>
    <t xml:space="preserve"> Otras participaciones en el patrimonio</t>
  </si>
  <si>
    <t xml:space="preserve"> Otras reservas</t>
  </si>
  <si>
    <t xml:space="preserve"> Participaciones no controladoras</t>
  </si>
  <si>
    <t>Otros ingresos sanitarios</t>
  </si>
  <si>
    <t>Ingresos no sanitarios</t>
  </si>
  <si>
    <r>
      <t>Volumen de Venta (miles de m</t>
    </r>
    <r>
      <rPr>
        <b/>
        <vertAlign val="superscript"/>
        <sz val="9"/>
        <color rgb="FF44546A"/>
        <rFont val="Calibri"/>
        <family val="2"/>
      </rPr>
      <t xml:space="preserve">3 </t>
    </r>
    <r>
      <rPr>
        <b/>
        <sz val="9"/>
        <color rgb="FF44546A"/>
        <rFont val="Calibri"/>
        <family val="2"/>
      </rPr>
      <t>devengados)</t>
    </r>
  </si>
  <si>
    <t xml:space="preserve">    Dic. 23</t>
  </si>
  <si>
    <t xml:space="preserve">    Dic. 22</t>
  </si>
  <si>
    <t>Recolección de aguas servidas</t>
  </si>
  <si>
    <t>Tratamiento y disposición de aguas servidas</t>
  </si>
  <si>
    <t xml:space="preserve">           Dic. 23</t>
  </si>
  <si>
    <t xml:space="preserve">           Dic. 22</t>
  </si>
  <si>
    <t xml:space="preserve">Análisis Ambientales S.A. </t>
  </si>
  <si>
    <t>Hidrogística S.A.</t>
  </si>
  <si>
    <t>Total filiales no sanitarias</t>
  </si>
  <si>
    <t>d)     Pérdidas por deterioro de valor*</t>
  </si>
  <si>
    <r>
      <t>e)</t>
    </r>
    <r>
      <rPr>
        <sz val="7"/>
        <color rgb="FF44546A"/>
        <rFont val="Times New Roman"/>
        <family val="1"/>
      </rPr>
      <t xml:space="preserve">       </t>
    </r>
    <r>
      <rPr>
        <sz val="9"/>
        <color rgb="FF44546A"/>
        <rFont val="Calibri"/>
        <family val="2"/>
      </rPr>
      <t>Depreciación y amortización</t>
    </r>
  </si>
  <si>
    <t>4T22</t>
  </si>
  <si>
    <t>4T23</t>
  </si>
  <si>
    <t>4T23 – 4T22</t>
  </si>
  <si>
    <t>Aspectos financieros al 31-03-2021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</si>
</sst>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1" formatCode="_ * #,##0_ ;_ * \-#,##0_ ;_ * &quot;-&quot;_ ;_ @_ "/>
    <numFmt numFmtId="164" formatCode="_-* #,##0.00_-;\-* #,##0.00_-;_-* &quot;-&quot;??_-;_-@_-"/>
    <numFmt numFmtId="165" formatCode="_(* #,##0_);_(* \(#,##0\);_(* &quot;-&quot;_);_(@_)"/>
    <numFmt numFmtId="166" formatCode="_(* #,##0.00_);_(* \(#,##0.00\);_(* &quot;-&quot;??_);_(@_)"/>
    <numFmt numFmtId="167" formatCode="_-* #,##0.00\ _€_-;\-* #,##0.00\ _€_-;_-* &quot;-&quot;??\ _€_-;_-@_-"/>
    <numFmt numFmtId="168" formatCode="_-* #,##0.00\ _P_t_s_-;\-* #,##0.00\ _P_t_s_-;_-* &quot;-&quot;??\ _P_t_s_-;_-@_-"/>
    <numFmt numFmtId="169" formatCode="_-* #,##0_-;\-* #,##0_-;_-* &quot;-&quot;??_-;_-@_-"/>
    <numFmt numFmtId="170" formatCode="#,##0;[Red]\(#,##0\)"/>
    <numFmt numFmtId="171" formatCode="##,##0.00;[Red]\(##,##0.00\)"/>
    <numFmt numFmtId="172" formatCode="#,##0.000;[Red]\(#,##0.000\)"/>
    <numFmt numFmtId="173" formatCode="#,##0.00;[Red]\(#,##0.00\)"/>
    <numFmt numFmtId="174" formatCode="#,##0.00;[Red]#,##0.00"/>
    <numFmt numFmtId="175" formatCode="#,##0.0;[Red]\(#,##0.0\)"/>
    <numFmt numFmtId="176" formatCode="_-* #,##0\ _P_t_s_-;\-* #,##0\ _P_t_s_-;_-* &quot;-&quot;??\ _P_t_s_-;_-@_-"/>
    <numFmt numFmtId="177" formatCode="_-* #,##0.000_-;\-* #,##0.000_-;_-* &quot;-&quot;??_-;_-@_-"/>
    <numFmt numFmtId="178" formatCode="_-* #,##0.000000_-;\-* #,##0.000000_-;_-* &quot;-&quot;??????_-;_-@_-"/>
    <numFmt numFmtId="179" formatCode="_-* #,##0.0000_-;\-* #,##0.0000_-;_-* &quot;-&quot;??_-;_-@_-"/>
    <numFmt numFmtId="180" formatCode="_-* #,##0.000\ _P_t_s_-;\-* #,##0.000\ _P_t_s_-;_-* &quot;-&quot;??\ _P_t_s_-;_-@_-"/>
    <numFmt numFmtId="181" formatCode="_-* #,##0.0000\ _P_t_s_-;\-* #,##0.0000\ _P_t_s_-;_-* &quot;-&quot;??\ _P_t_s_-;_-@_-"/>
    <numFmt numFmtId="182" formatCode="0.00000"/>
    <numFmt numFmtId="183" formatCode="0.0000"/>
    <numFmt numFmtId="184" formatCode="0.000"/>
    <numFmt numFmtId="185" formatCode="_-* #,##0.000_-;\-* #,##0.000_-;_-* &quot;-&quot;???_-;_-@_-"/>
    <numFmt numFmtId="186" formatCode="##,##0;\(##,##0\)"/>
    <numFmt numFmtId="187" formatCode="0.0000%"/>
    <numFmt numFmtId="188" formatCode="0.0%"/>
    <numFmt numFmtId="189" formatCode="#,##0;\(\ #,##0\)"/>
    <numFmt numFmtId="190" formatCode="#,##0;\(\ \ #,##0\)"/>
    <numFmt numFmtId="191" formatCode="dd\-mm\-yyyy"/>
    <numFmt numFmtId="192" formatCode="d\-m\-yyyy"/>
    <numFmt numFmtId="193" formatCode="_-* #,##0.00\ &quot;DM&quot;_-;\-* #,##0.00\ &quot;DM&quot;_-;_-* &quot;-&quot;??\ &quot;DM&quot;_-;_-@_-"/>
    <numFmt numFmtId="194" formatCode="_-* #,##0.00\ [$€]_-;\-* #,##0.00\ [$€]_-;_-* &quot;-&quot;??\ [$€]_-;_-@_-"/>
    <numFmt numFmtId="195" formatCode="_-* #,##0\ _D_M_-;\-* #,##0\ _D_M_-;_-* &quot;-&quot;\ _D_M_-;_-@_-"/>
    <numFmt numFmtId="196" formatCode="_-* #,##0.00\ _D_M_-;\-* #,##0.00\ _D_M_-;_-* &quot;-&quot;??\ _D_M_-;_-@_-"/>
    <numFmt numFmtId="197" formatCode="_-* #,##0\ &quot;DM&quot;_-;\-* #,##0\ &quot;DM&quot;_-;_-* &quot;-&quot;\ &quot;DM&quot;_-;_-@_-"/>
    <numFmt numFmtId="198" formatCode="_(* #,##0_);_(* \(#,##0\);_(* &quot;-&quot;??_);_(@_)"/>
    <numFmt numFmtId="199" formatCode="#,##0.000"/>
    <numFmt numFmtId="200" formatCode="#,##0_ ;\-#,##0\ "/>
    <numFmt numFmtId="201" formatCode="#,##0\ ;\(#,##0\);\-\ ;"/>
    <numFmt numFmtId="202" formatCode="0.0%_);\(0.0%\)"/>
    <numFmt numFmtId="203" formatCode="#,##0;\(#,##0\);\-"/>
    <numFmt numFmtId="204" formatCode="#,##0.000;\(#,##0.000\);\-"/>
    <numFmt numFmtId="205" formatCode="#,##0.0"/>
    <numFmt numFmtId="206" formatCode="#,##0.000;[Red]#,##0.000"/>
  </numFmts>
  <fonts count="1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indexed="23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8"/>
      <name val="Arial"/>
      <family val="2"/>
    </font>
    <font>
      <sz val="10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6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</font>
    <font>
      <sz val="11"/>
      <color indexed="60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1"/>
      <color indexed="8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i/>
      <sz val="10"/>
      <color rgb="FF7F7F7F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44546A"/>
      <name val="Calibri"/>
      <family val="2"/>
      <scheme val="minor"/>
    </font>
    <font>
      <sz val="9"/>
      <color rgb="FF44546A"/>
      <name val="Calibri"/>
      <family val="2"/>
      <scheme val="minor"/>
    </font>
    <font>
      <sz val="10"/>
      <color rgb="FF44546A"/>
      <name val="Calibri"/>
      <family val="2"/>
      <scheme val="minor"/>
    </font>
    <font>
      <b/>
      <sz val="10"/>
      <color rgb="FF44546A"/>
      <name val="Calibri"/>
      <family val="2"/>
      <scheme val="minor"/>
    </font>
    <font>
      <b/>
      <u/>
      <sz val="10"/>
      <color rgb="FF44546A"/>
      <name val="Calibri"/>
      <family val="2"/>
      <scheme val="minor"/>
    </font>
    <font>
      <sz val="11"/>
      <color rgb="FF44546A"/>
      <name val="Calibri"/>
      <family val="2"/>
      <scheme val="minor"/>
    </font>
    <font>
      <sz val="9"/>
      <color rgb="FF44546A"/>
      <name val="Calibri"/>
      <family val="2"/>
    </font>
    <font>
      <sz val="1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color rgb="FF44546A"/>
      <name val="Calibri"/>
      <family val="2"/>
    </font>
    <font>
      <b/>
      <vertAlign val="superscript"/>
      <sz val="9"/>
      <color rgb="FF44546A"/>
      <name val="Calibri"/>
      <family val="2"/>
    </font>
    <font>
      <sz val="8"/>
      <color rgb="FF44546A"/>
      <name val="Calibri"/>
      <family val="2"/>
      <scheme val="minor"/>
    </font>
    <font>
      <b/>
      <sz val="8"/>
      <color rgb="FF44546A"/>
      <name val="Calibri"/>
      <family val="2"/>
      <scheme val="minor"/>
    </font>
    <font>
      <sz val="9"/>
      <color rgb="FF1F3864"/>
      <name val="Calibri"/>
      <family val="2"/>
    </font>
    <font>
      <sz val="11"/>
      <color theme="1"/>
      <name val="Calibri"/>
      <family val="2"/>
      <charset val="177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66"/>
      <name val="Calibri"/>
      <family val="2"/>
      <scheme val="minor"/>
    </font>
    <font>
      <sz val="10"/>
      <color rgb="FF000066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2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indexed="12"/>
      <name val="Calibri"/>
      <family val="2"/>
      <scheme val="minor"/>
    </font>
    <font>
      <u/>
      <sz val="9"/>
      <name val="Calibri"/>
      <family val="2"/>
      <scheme val="minor"/>
    </font>
    <font>
      <b/>
      <i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indexed="20"/>
      <name val="Calibri"/>
      <family val="2"/>
      <scheme val="minor"/>
    </font>
    <font>
      <b/>
      <sz val="9"/>
      <color indexed="62"/>
      <name val="Calibri"/>
      <family val="2"/>
      <scheme val="minor"/>
    </font>
    <font>
      <sz val="9"/>
      <color indexed="62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10"/>
      <color theme="3" tint="0.79998168889431442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i/>
      <sz val="7"/>
      <color rgb="FF44546A"/>
      <name val="Calibri"/>
      <family val="2"/>
    </font>
    <font>
      <sz val="11"/>
      <color rgb="FF44546A"/>
      <name val="Calibri"/>
      <family val="2"/>
    </font>
    <font>
      <sz val="7"/>
      <color rgb="FF44546A"/>
      <name val="Times New Roman"/>
      <family val="1"/>
    </font>
    <font>
      <b/>
      <sz val="10"/>
      <color rgb="FF44546A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8" tint="-0.499984740745262"/>
      <name val="Calibri"/>
      <family val="2"/>
      <scheme val="minor"/>
    </font>
    <font>
      <sz val="9"/>
      <color theme="8" tint="-0.499984740745262"/>
      <name val="Calibri"/>
      <family val="2"/>
    </font>
    <font>
      <b/>
      <sz val="9"/>
      <color theme="8" tint="-0.499984740745262"/>
      <name val="Calibri"/>
      <family val="2"/>
    </font>
    <font>
      <i/>
      <sz val="7"/>
      <color theme="8" tint="-0.499984740745262"/>
      <name val="Calibri"/>
      <family val="2"/>
    </font>
    <font>
      <b/>
      <sz val="9"/>
      <color theme="8" tint="-0.499984740745262"/>
      <name val="Calibri"/>
      <family val="2"/>
      <scheme val="minor"/>
    </font>
    <font>
      <b/>
      <sz val="7"/>
      <color rgb="FF455369"/>
      <name val="Times New Roman"/>
      <family val="1"/>
    </font>
    <font>
      <i/>
      <sz val="13"/>
      <color rgb="FF44546A"/>
      <name val="Calibri"/>
      <family val="2"/>
    </font>
    <font>
      <i/>
      <sz val="7"/>
      <color rgb="FF44546A"/>
      <name val="Times New Roman"/>
      <family val="1"/>
    </font>
    <font>
      <b/>
      <sz val="13"/>
      <color rgb="FF455369"/>
      <name val="Calibri"/>
      <family val="1"/>
    </font>
    <font>
      <i/>
      <sz val="7"/>
      <color rgb="FF44546A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rgb="FFFFFFFF"/>
      <name val="Calibri"/>
      <family val="2"/>
    </font>
    <font>
      <sz val="9"/>
      <color theme="1"/>
      <name val="Calibri"/>
      <family val="2"/>
    </font>
  </fonts>
  <fills count="10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35"/>
        <bgColor indexed="35"/>
      </patternFill>
    </fill>
    <fill>
      <patternFill patternType="solid">
        <fgColor indexed="18"/>
        <bgColor indexed="18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3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/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/>
      <bottom style="thin">
        <color indexed="55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 style="thin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medium">
        <color indexed="55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medium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thin">
        <color indexed="23"/>
      </left>
      <right style="thin">
        <color indexed="23"/>
      </right>
      <top style="medium">
        <color indexed="55"/>
      </top>
      <bottom/>
      <diagonal/>
    </border>
    <border>
      <left style="thin">
        <color indexed="23"/>
      </left>
      <right style="medium">
        <color indexed="55"/>
      </right>
      <top style="medium">
        <color indexed="55"/>
      </top>
      <bottom/>
      <diagonal/>
    </border>
    <border>
      <left style="medium">
        <color rgb="FF92D050"/>
      </left>
      <right style="thin">
        <color rgb="FF92D050"/>
      </right>
      <top/>
      <bottom/>
      <diagonal/>
    </border>
    <border>
      <left style="thin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thin">
        <color rgb="FF92D050"/>
      </right>
      <top/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/>
      <bottom style="thin">
        <color rgb="FF92D050"/>
      </bottom>
      <diagonal/>
    </border>
    <border>
      <left style="medium">
        <color rgb="FF92D050"/>
      </left>
      <right/>
      <top style="medium">
        <color rgb="FF92D050"/>
      </top>
      <bottom style="thin">
        <color rgb="FF92D050"/>
      </bottom>
      <diagonal/>
    </border>
    <border>
      <left/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thin">
        <color rgb="FF92D050"/>
      </right>
      <top style="medium">
        <color rgb="FF92D050"/>
      </top>
      <bottom style="thin">
        <color rgb="FF92D050"/>
      </bottom>
      <diagonal/>
    </border>
    <border>
      <left style="thin">
        <color rgb="FF92D050"/>
      </left>
      <right style="medium">
        <color rgb="FF92D050"/>
      </right>
      <top style="medium">
        <color rgb="FF92D050"/>
      </top>
      <bottom style="thin">
        <color rgb="FF92D05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2D0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2060"/>
      </bottom>
      <diagonal/>
    </border>
  </borders>
  <cellStyleXfs count="170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7" fillId="8" borderId="0" applyNumberFormat="0" applyBorder="0" applyAlignment="0" applyProtection="0"/>
    <xf numFmtId="0" fontId="62" fillId="74" borderId="0" applyNumberFormat="0" applyBorder="0" applyAlignment="0" applyProtection="0"/>
    <xf numFmtId="0" fontId="63" fillId="74" borderId="0" applyNumberFormat="0" applyBorder="0" applyAlignment="0" applyProtection="0"/>
    <xf numFmtId="0" fontId="7" fillId="9" borderId="0" applyNumberFormat="0" applyBorder="0" applyAlignment="0" applyProtection="0"/>
    <xf numFmtId="0" fontId="62" fillId="75" borderId="0" applyNumberFormat="0" applyBorder="0" applyAlignment="0" applyProtection="0"/>
    <xf numFmtId="0" fontId="63" fillId="75" borderId="0" applyNumberFormat="0" applyBorder="0" applyAlignment="0" applyProtection="0"/>
    <xf numFmtId="0" fontId="7" fillId="10" borderId="0" applyNumberFormat="0" applyBorder="0" applyAlignment="0" applyProtection="0"/>
    <xf numFmtId="0" fontId="62" fillId="76" borderId="0" applyNumberFormat="0" applyBorder="0" applyAlignment="0" applyProtection="0"/>
    <xf numFmtId="0" fontId="63" fillId="76" borderId="0" applyNumberFormat="0" applyBorder="0" applyAlignment="0" applyProtection="0"/>
    <xf numFmtId="0" fontId="7" fillId="11" borderId="0" applyNumberFormat="0" applyBorder="0" applyAlignment="0" applyProtection="0"/>
    <xf numFmtId="0" fontId="62" fillId="77" borderId="0" applyNumberFormat="0" applyBorder="0" applyAlignment="0" applyProtection="0"/>
    <xf numFmtId="0" fontId="63" fillId="77" borderId="0" applyNumberFormat="0" applyBorder="0" applyAlignment="0" applyProtection="0"/>
    <xf numFmtId="0" fontId="7" fillId="12" borderId="0" applyNumberFormat="0" applyBorder="0" applyAlignment="0" applyProtection="0"/>
    <xf numFmtId="0" fontId="62" fillId="78" borderId="0" applyNumberFormat="0" applyBorder="0" applyAlignment="0" applyProtection="0"/>
    <xf numFmtId="0" fontId="63" fillId="78" borderId="0" applyNumberFormat="0" applyBorder="0" applyAlignment="0" applyProtection="0"/>
    <xf numFmtId="0" fontId="7" fillId="3" borderId="0" applyNumberFormat="0" applyBorder="0" applyAlignment="0" applyProtection="0"/>
    <xf numFmtId="0" fontId="62" fillId="79" borderId="0" applyNumberFormat="0" applyBorder="0" applyAlignment="0" applyProtection="0"/>
    <xf numFmtId="0" fontId="63" fillId="79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3" borderId="0" applyNumberFormat="0" applyBorder="0" applyAlignment="0" applyProtection="0"/>
    <xf numFmtId="0" fontId="34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4" borderId="0" applyNumberFormat="0" applyBorder="0" applyAlignment="0" applyProtection="0"/>
    <xf numFmtId="0" fontId="7" fillId="15" borderId="0" applyNumberFormat="0" applyBorder="0" applyAlignment="0" applyProtection="0"/>
    <xf numFmtId="0" fontId="62" fillId="80" borderId="0" applyNumberFormat="0" applyBorder="0" applyAlignment="0" applyProtection="0"/>
    <xf numFmtId="0" fontId="63" fillId="80" borderId="0" applyNumberFormat="0" applyBorder="0" applyAlignment="0" applyProtection="0"/>
    <xf numFmtId="0" fontId="7" fillId="9" borderId="0" applyNumberFormat="0" applyBorder="0" applyAlignment="0" applyProtection="0"/>
    <xf numFmtId="0" fontId="62" fillId="81" borderId="0" applyNumberFormat="0" applyBorder="0" applyAlignment="0" applyProtection="0"/>
    <xf numFmtId="0" fontId="63" fillId="81" borderId="0" applyNumberFormat="0" applyBorder="0" applyAlignment="0" applyProtection="0"/>
    <xf numFmtId="0" fontId="7" fillId="16" borderId="0" applyNumberFormat="0" applyBorder="0" applyAlignment="0" applyProtection="0"/>
    <xf numFmtId="0" fontId="62" fillId="82" borderId="0" applyNumberFormat="0" applyBorder="0" applyAlignment="0" applyProtection="0"/>
    <xf numFmtId="0" fontId="63" fillId="82" borderId="0" applyNumberFormat="0" applyBorder="0" applyAlignment="0" applyProtection="0"/>
    <xf numFmtId="0" fontId="7" fillId="17" borderId="0" applyNumberFormat="0" applyBorder="0" applyAlignment="0" applyProtection="0"/>
    <xf numFmtId="0" fontId="62" fillId="83" borderId="0" applyNumberFormat="0" applyBorder="0" applyAlignment="0" applyProtection="0"/>
    <xf numFmtId="0" fontId="63" fillId="83" borderId="0" applyNumberFormat="0" applyBorder="0" applyAlignment="0" applyProtection="0"/>
    <xf numFmtId="0" fontId="7" fillId="15" borderId="0" applyNumberFormat="0" applyBorder="0" applyAlignment="0" applyProtection="0"/>
    <xf numFmtId="0" fontId="62" fillId="84" borderId="0" applyNumberFormat="0" applyBorder="0" applyAlignment="0" applyProtection="0"/>
    <xf numFmtId="0" fontId="63" fillId="84" borderId="0" applyNumberFormat="0" applyBorder="0" applyAlignment="0" applyProtection="0"/>
    <xf numFmtId="0" fontId="7" fillId="7" borderId="0" applyNumberFormat="0" applyBorder="0" applyAlignment="0" applyProtection="0"/>
    <xf numFmtId="0" fontId="62" fillId="85" borderId="0" applyNumberFormat="0" applyBorder="0" applyAlignment="0" applyProtection="0"/>
    <xf numFmtId="0" fontId="63" fillId="85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8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8" fillId="15" borderId="0" applyNumberFormat="0" applyBorder="0" applyAlignment="0" applyProtection="0"/>
    <xf numFmtId="0" fontId="64" fillId="86" borderId="0" applyNumberFormat="0" applyBorder="0" applyAlignment="0" applyProtection="0"/>
    <xf numFmtId="0" fontId="8" fillId="9" borderId="0" applyNumberFormat="0" applyBorder="0" applyAlignment="0" applyProtection="0"/>
    <xf numFmtId="0" fontId="64" fillId="87" borderId="0" applyNumberFormat="0" applyBorder="0" applyAlignment="0" applyProtection="0"/>
    <xf numFmtId="0" fontId="8" fillId="16" borderId="0" applyNumberFormat="0" applyBorder="0" applyAlignment="0" applyProtection="0"/>
    <xf numFmtId="0" fontId="64" fillId="88" borderId="0" applyNumberFormat="0" applyBorder="0" applyAlignment="0" applyProtection="0"/>
    <xf numFmtId="0" fontId="8" fillId="17" borderId="0" applyNumberFormat="0" applyBorder="0" applyAlignment="0" applyProtection="0"/>
    <xf numFmtId="0" fontId="64" fillId="89" borderId="0" applyNumberFormat="0" applyBorder="0" applyAlignment="0" applyProtection="0"/>
    <xf numFmtId="0" fontId="8" fillId="15" borderId="0" applyNumberFormat="0" applyBorder="0" applyAlignment="0" applyProtection="0"/>
    <xf numFmtId="0" fontId="64" fillId="90" borderId="0" applyNumberFormat="0" applyBorder="0" applyAlignment="0" applyProtection="0"/>
    <xf numFmtId="0" fontId="8" fillId="7" borderId="0" applyNumberFormat="0" applyBorder="0" applyAlignment="0" applyProtection="0"/>
    <xf numFmtId="0" fontId="64" fillId="91" borderId="0" applyNumberFormat="0" applyBorder="0" applyAlignment="0" applyProtection="0"/>
    <xf numFmtId="0" fontId="4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" fillId="1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9" fillId="37" borderId="0" applyNumberFormat="0" applyBorder="0" applyAlignment="0" applyProtection="0"/>
    <xf numFmtId="0" fontId="9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26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4" fillId="19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4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35" borderId="0" applyNumberFormat="0" applyBorder="0" applyAlignment="0" applyProtection="0"/>
    <xf numFmtId="0" fontId="9" fillId="23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9" fillId="41" borderId="0" applyNumberFormat="0" applyBorder="0" applyAlignment="0" applyProtection="0"/>
    <xf numFmtId="0" fontId="9" fillId="3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0" fontId="4" fillId="22" borderId="0" applyNumberFormat="0" applyBorder="0" applyAlignment="0" applyProtection="0"/>
    <xf numFmtId="0" fontId="4" fillId="2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39" borderId="0" applyNumberFormat="0" applyBorder="0" applyAlignment="0" applyProtection="0"/>
    <xf numFmtId="0" fontId="35" fillId="3" borderId="0" applyNumberFormat="0" applyBorder="0" applyAlignment="0" applyProtection="0"/>
    <xf numFmtId="0" fontId="11" fillId="43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6" fillId="17" borderId="1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2" fillId="44" borderId="1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37" fillId="45" borderId="2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34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3" fillId="46" borderId="3" applyNumberFormat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4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3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8" fillId="47" borderId="3" applyNumberFormat="0" applyAlignment="0" applyProtection="0"/>
    <xf numFmtId="0" fontId="39" fillId="17" borderId="1" applyNumberFormat="0" applyAlignment="0" applyProtection="0"/>
    <xf numFmtId="0" fontId="39" fillId="7" borderId="1" applyNumberFormat="0" applyAlignment="0" applyProtection="0"/>
    <xf numFmtId="0" fontId="40" fillId="17" borderId="6" applyNumberFormat="0" applyAlignment="0" applyProtection="0"/>
    <xf numFmtId="0" fontId="40" fillId="17" borderId="6" applyNumberFormat="0" applyAlignment="0" applyProtection="0"/>
    <xf numFmtId="0" fontId="41" fillId="4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34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0" fillId="59" borderId="0" applyNumberFormat="0" applyBorder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1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0" fontId="17" fillId="41" borderId="2" applyNumberFormat="0" applyAlignment="0" applyProtection="0"/>
    <xf numFmtId="194" fontId="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18" fillId="32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8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48" fillId="7" borderId="1" applyNumberFormat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38" fillId="47" borderId="3" applyNumberFormat="0" applyAlignment="0" applyProtection="0"/>
    <xf numFmtId="0" fontId="50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0" fontId="49" fillId="0" borderId="10" applyNumberFormat="0" applyFill="0" applyAlignment="0" applyProtection="0"/>
    <xf numFmtId="166" fontId="3" fillId="0" borderId="0" applyFont="0" applyFill="0" applyBorder="0" applyAlignment="0" applyProtection="0"/>
    <xf numFmtId="195" fontId="6" fillId="0" borderId="0" applyFont="0" applyFill="0" applyBorder="0" applyAlignment="0" applyProtection="0"/>
    <xf numFmtId="196" fontId="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3" fillId="0" borderId="0" applyFont="0" applyFill="0" applyBorder="0" applyAlignment="0" applyProtection="0"/>
    <xf numFmtId="197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9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51" fillId="6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2" fillId="0" borderId="0"/>
    <xf numFmtId="0" fontId="6" fillId="0" borderId="0"/>
    <xf numFmtId="0" fontId="6" fillId="0" borderId="0"/>
    <xf numFmtId="0" fontId="65" fillId="0" borderId="0"/>
    <xf numFmtId="0" fontId="9" fillId="0" borderId="0"/>
    <xf numFmtId="0" fontId="6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9" fillId="0" borderId="0"/>
    <xf numFmtId="0" fontId="6" fillId="0" borderId="0"/>
    <xf numFmtId="0" fontId="52" fillId="0" borderId="0" applyNumberFormat="0" applyFill="0" applyBorder="0">
      <alignment vertical="center"/>
    </xf>
    <xf numFmtId="0" fontId="6" fillId="0" borderId="0"/>
    <xf numFmtId="0" fontId="6" fillId="0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0" borderId="0"/>
    <xf numFmtId="0" fontId="5" fillId="61" borderId="0"/>
    <xf numFmtId="0" fontId="5" fillId="61" borderId="0"/>
    <xf numFmtId="0" fontId="5" fillId="61" borderId="0"/>
    <xf numFmtId="0" fontId="6" fillId="40" borderId="11" applyNumberFormat="0" applyFont="0" applyAlignment="0" applyProtection="0"/>
    <xf numFmtId="0" fontId="9" fillId="92" borderId="26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6" fillId="40" borderId="11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5" fillId="40" borderId="2" applyNumberFormat="0" applyFont="0" applyAlignment="0" applyProtection="0"/>
    <xf numFmtId="0" fontId="9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9" fillId="10" borderId="11" applyNumberFormat="0" applyFont="0" applyAlignment="0" applyProtection="0"/>
    <xf numFmtId="0" fontId="36" fillId="17" borderId="1" applyNumberFormat="0" applyAlignment="0" applyProtection="0"/>
    <xf numFmtId="0" fontId="40" fillId="17" borderId="6" applyNumberForma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4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0" fontId="20" fillId="45" borderId="6" applyNumberFormat="0" applyAlignment="0" applyProtection="0"/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1" fillId="60" borderId="1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5" fillId="60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53" fillId="62" borderId="2" applyNumberFormat="0" applyProtection="0">
      <alignment vertical="center"/>
    </xf>
    <xf numFmtId="4" fontId="22" fillId="60" borderId="12" applyNumberFormat="0" applyProtection="0">
      <alignment vertical="center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21" fillId="60" borderId="1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4" fontId="5" fillId="62" borderId="2" applyNumberFormat="0" applyProtection="0">
      <alignment horizontal="left" vertical="center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54" fillId="60" borderId="12" applyNumberFormat="0" applyProtection="0">
      <alignment horizontal="left" vertical="top" indent="1"/>
    </xf>
    <xf numFmtId="0" fontId="21" fillId="60" borderId="12" applyNumberFormat="0" applyProtection="0">
      <alignment horizontal="left" vertical="top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3" borderId="1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5" fillId="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9" borderId="1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5" fillId="63" borderId="2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29" borderId="12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5" fillId="29" borderId="13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14" borderId="1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5" fillId="14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21" borderId="1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5" fillId="21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39" borderId="1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5" fillId="39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16" borderId="1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5" fillId="16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64" borderId="1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5" fillId="64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7" fillId="13" borderId="1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21" fillId="65" borderId="14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5" fillId="6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23" fillId="15" borderId="0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6" fillId="15" borderId="13" applyNumberFormat="0" applyProtection="0">
      <alignment horizontal="left" vertical="center" indent="1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8" borderId="1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66" borderId="0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5" fillId="66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7" fillId="8" borderId="0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4" fontId="5" fillId="8" borderId="13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5" fillId="17" borderId="2" applyNumberFormat="0" applyProtection="0">
      <alignment horizontal="left" vertical="center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5" fillId="15" borderId="12" applyNumberFormat="0" applyProtection="0">
      <alignment horizontal="left" vertical="top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5" fillId="67" borderId="2" applyNumberFormat="0" applyProtection="0">
      <alignment horizontal="left" vertical="center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5" fillId="8" borderId="12" applyNumberFormat="0" applyProtection="0">
      <alignment horizontal="left" vertical="top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5" fillId="12" borderId="2" applyNumberFormat="0" applyProtection="0">
      <alignment horizontal="left" vertical="center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5" fillId="12" borderId="12" applyNumberFormat="0" applyProtection="0">
      <alignment horizontal="left" vertical="top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5" fillId="66" borderId="2" applyNumberFormat="0" applyProtection="0">
      <alignment horizontal="left" vertical="center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5" fillId="66" borderId="12" applyNumberFormat="0" applyProtection="0">
      <alignment horizontal="left" vertical="top" indent="1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6" fillId="11" borderId="15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5" fillId="11" borderId="16" applyNumberFormat="0">
      <protection locked="0"/>
    </xf>
    <xf numFmtId="0" fontId="32" fillId="15" borderId="17" applyBorder="0"/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55" fillId="10" borderId="12" applyNumberFormat="0" applyProtection="0">
      <alignment vertical="center"/>
    </xf>
    <xf numFmtId="4" fontId="7" fillId="10" borderId="12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53" fillId="68" borderId="15" applyNumberFormat="0" applyProtection="0">
      <alignment vertical="center"/>
    </xf>
    <xf numFmtId="4" fontId="24" fillId="10" borderId="12" applyNumberFormat="0" applyProtection="0">
      <alignment vertical="center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55" fillId="17" borderId="12" applyNumberFormat="0" applyProtection="0">
      <alignment horizontal="left" vertical="center" indent="1"/>
    </xf>
    <xf numFmtId="4" fontId="7" fillId="10" borderId="12" applyNumberFormat="0" applyProtection="0">
      <alignment horizontal="left" vertical="center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55" fillId="10" borderId="12" applyNumberFormat="0" applyProtection="0">
      <alignment horizontal="left" vertical="top" indent="1"/>
    </xf>
    <xf numFmtId="0" fontId="7" fillId="10" borderId="12" applyNumberFormat="0" applyProtection="0">
      <alignment horizontal="left" vertical="top" indent="1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7" fillId="66" borderId="1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5" fillId="0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53" fillId="69" borderId="2" applyNumberFormat="0" applyProtection="0">
      <alignment horizontal="right" vertical="center"/>
    </xf>
    <xf numFmtId="4" fontId="24" fillId="66" borderId="12" applyNumberFormat="0" applyProtection="0">
      <alignment horizontal="right" vertical="center"/>
    </xf>
    <xf numFmtId="4" fontId="7" fillId="8" borderId="1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7" fillId="8" borderId="1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0" fontId="6" fillId="70" borderId="6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55" fillId="8" borderId="12" applyNumberFormat="0" applyProtection="0">
      <alignment horizontal="left" vertical="top" indent="1"/>
    </xf>
    <xf numFmtId="0" fontId="7" fillId="8" borderId="12" applyNumberFormat="0" applyProtection="0">
      <alignment horizontal="left" vertical="top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25" fillId="71" borderId="0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4" fontId="56" fillId="71" borderId="13" applyNumberFormat="0" applyProtection="0">
      <alignment horizontal="left" vertical="center" indent="1"/>
    </xf>
    <xf numFmtId="0" fontId="5" fillId="72" borderId="15"/>
    <xf numFmtId="0" fontId="5" fillId="72" borderId="15"/>
    <xf numFmtId="0" fontId="5" fillId="72" borderId="15"/>
    <xf numFmtId="0" fontId="5" fillId="72" borderId="15"/>
    <xf numFmtId="0" fontId="5" fillId="72" borderId="15"/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57" fillId="11" borderId="2" applyNumberFormat="0" applyProtection="0">
      <alignment horizontal="right" vertical="center"/>
    </xf>
    <xf numFmtId="4" fontId="26" fillId="66" borderId="12" applyNumberFormat="0" applyProtection="0">
      <alignment horizontal="right" vertical="center"/>
    </xf>
    <xf numFmtId="0" fontId="2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0" fillId="0" borderId="19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8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6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34" fillId="10" borderId="11" applyNumberFormat="0" applyFont="0" applyAlignment="0" applyProtection="0"/>
    <xf numFmtId="0" fontId="2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67" fillId="0" borderId="0"/>
    <xf numFmtId="0" fontId="3" fillId="0" borderId="0"/>
    <xf numFmtId="9" fontId="9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5" fillId="0" borderId="0"/>
    <xf numFmtId="164" fontId="2" fillId="0" borderId="0" applyFont="0" applyFill="0" applyBorder="0" applyAlignment="0" applyProtection="0"/>
    <xf numFmtId="41" fontId="8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9" fillId="0" borderId="0"/>
  </cellStyleXfs>
  <cellXfs count="543">
    <xf numFmtId="0" fontId="0" fillId="0" borderId="0" xfId="0"/>
    <xf numFmtId="3" fontId="70" fillId="0" borderId="0" xfId="0" applyNumberFormat="1" applyFont="1"/>
    <xf numFmtId="0" fontId="71" fillId="0" borderId="64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2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71" fillId="0" borderId="36" xfId="0" applyFont="1" applyBorder="1" applyAlignment="1">
      <alignment horizontal="center" vertical="center"/>
    </xf>
    <xf numFmtId="0" fontId="73" fillId="0" borderId="0" xfId="0" applyFont="1"/>
    <xf numFmtId="201" fontId="72" fillId="0" borderId="0" xfId="0" applyNumberFormat="1" applyFont="1" applyAlignment="1">
      <alignment horizontal="right" vertical="center"/>
    </xf>
    <xf numFmtId="202" fontId="72" fillId="0" borderId="0" xfId="0" applyNumberFormat="1" applyFont="1" applyAlignment="1">
      <alignment horizontal="right" vertical="center"/>
    </xf>
    <xf numFmtId="201" fontId="71" fillId="0" borderId="0" xfId="0" applyNumberFormat="1" applyFont="1" applyAlignment="1">
      <alignment horizontal="right" vertical="center"/>
    </xf>
    <xf numFmtId="202" fontId="71" fillId="0" borderId="0" xfId="0" applyNumberFormat="1" applyFont="1" applyAlignment="1">
      <alignment horizontal="right" vertical="center"/>
    </xf>
    <xf numFmtId="0" fontId="74" fillId="0" borderId="0" xfId="0" applyFont="1"/>
    <xf numFmtId="0" fontId="75" fillId="0" borderId="0" xfId="0" applyFont="1" applyAlignment="1">
      <alignment horizontal="left" indent="2"/>
    </xf>
    <xf numFmtId="0" fontId="73" fillId="0" borderId="0" xfId="0" applyFont="1" applyAlignment="1">
      <alignment vertical="center"/>
    </xf>
    <xf numFmtId="198" fontId="73" fillId="0" borderId="0" xfId="828" applyNumberFormat="1" applyFont="1" applyAlignment="1">
      <alignment vertical="center"/>
    </xf>
    <xf numFmtId="0" fontId="72" fillId="0" borderId="0" xfId="0" applyFont="1"/>
    <xf numFmtId="3" fontId="72" fillId="0" borderId="0" xfId="0" applyNumberFormat="1" applyFont="1" applyAlignment="1">
      <alignment horizontal="right"/>
    </xf>
    <xf numFmtId="0" fontId="71" fillId="0" borderId="0" xfId="0" applyFont="1" applyAlignment="1">
      <alignment horizontal="center" vertical="center"/>
    </xf>
    <xf numFmtId="3" fontId="77" fillId="0" borderId="0" xfId="0" applyNumberFormat="1" applyFont="1" applyAlignment="1">
      <alignment horizontal="right" vertical="center"/>
    </xf>
    <xf numFmtId="3" fontId="73" fillId="0" borderId="0" xfId="0" applyNumberFormat="1" applyFont="1" applyAlignment="1">
      <alignment vertical="center"/>
    </xf>
    <xf numFmtId="0" fontId="71" fillId="0" borderId="36" xfId="0" applyFont="1" applyBorder="1" applyAlignment="1">
      <alignment vertical="center"/>
    </xf>
    <xf numFmtId="0" fontId="72" fillId="0" borderId="0" xfId="0" applyFont="1" applyAlignment="1">
      <alignment horizontal="right" vertical="center"/>
    </xf>
    <xf numFmtId="3" fontId="73" fillId="0" borderId="0" xfId="0" applyNumberFormat="1" applyFont="1"/>
    <xf numFmtId="3" fontId="71" fillId="0" borderId="0" xfId="0" applyNumberFormat="1" applyFont="1"/>
    <xf numFmtId="3" fontId="72" fillId="0" borderId="0" xfId="0" applyNumberFormat="1" applyFont="1" applyAlignment="1">
      <alignment horizontal="right" vertical="center"/>
    </xf>
    <xf numFmtId="3" fontId="69" fillId="0" borderId="0" xfId="0" applyNumberFormat="1" applyFont="1"/>
    <xf numFmtId="201" fontId="79" fillId="0" borderId="0" xfId="0" applyNumberFormat="1" applyFont="1" applyAlignment="1">
      <alignment horizontal="right" vertical="center"/>
    </xf>
    <xf numFmtId="202" fontId="70" fillId="0" borderId="0" xfId="0" applyNumberFormat="1" applyFont="1" applyAlignment="1">
      <alignment horizontal="right" vertical="center"/>
    </xf>
    <xf numFmtId="202" fontId="79" fillId="0" borderId="0" xfId="0" applyNumberFormat="1" applyFont="1" applyAlignment="1">
      <alignment horizontal="right" vertical="center"/>
    </xf>
    <xf numFmtId="0" fontId="77" fillId="0" borderId="0" xfId="0" applyFont="1" applyAlignment="1">
      <alignment vertical="center"/>
    </xf>
    <xf numFmtId="0" fontId="73" fillId="0" borderId="0" xfId="0" applyFont="1" applyAlignment="1">
      <alignment horizontal="left"/>
    </xf>
    <xf numFmtId="201" fontId="73" fillId="0" borderId="0" xfId="0" applyNumberFormat="1" applyFont="1"/>
    <xf numFmtId="3" fontId="80" fillId="0" borderId="0" xfId="0" applyNumberFormat="1" applyFont="1" applyAlignment="1">
      <alignment horizontal="right" vertical="center"/>
    </xf>
    <xf numFmtId="0" fontId="74" fillId="0" borderId="0" xfId="0" applyFont="1" applyAlignment="1">
      <alignment horizontal="left"/>
    </xf>
    <xf numFmtId="201" fontId="74" fillId="0" borderId="0" xfId="0" applyNumberFormat="1" applyFont="1"/>
    <xf numFmtId="0" fontId="75" fillId="0" borderId="0" xfId="1698" applyFont="1" applyAlignment="1">
      <alignment horizontal="left" indent="2"/>
    </xf>
    <xf numFmtId="0" fontId="73" fillId="0" borderId="0" xfId="1698" applyFont="1"/>
    <xf numFmtId="0" fontId="73" fillId="0" borderId="0" xfId="1698" applyFont="1" applyAlignment="1">
      <alignment vertical="center"/>
    </xf>
    <xf numFmtId="3" fontId="73" fillId="0" borderId="0" xfId="1698" applyNumberFormat="1" applyFont="1" applyAlignment="1">
      <alignment vertical="center"/>
    </xf>
    <xf numFmtId="202" fontId="73" fillId="0" borderId="0" xfId="0" applyNumberFormat="1" applyFont="1"/>
    <xf numFmtId="0" fontId="71" fillId="0" borderId="0" xfId="0" applyFont="1" applyAlignment="1">
      <alignment horizontal="center"/>
    </xf>
    <xf numFmtId="0" fontId="71" fillId="0" borderId="36" xfId="0" applyFont="1" applyBorder="1" applyAlignment="1">
      <alignment horizontal="center"/>
    </xf>
    <xf numFmtId="0" fontId="72" fillId="0" borderId="0" xfId="0" applyFont="1" applyAlignment="1">
      <alignment horizontal="center" vertical="center"/>
    </xf>
    <xf numFmtId="0" fontId="82" fillId="0" borderId="0" xfId="0" applyFont="1"/>
    <xf numFmtId="3" fontId="82" fillId="0" borderId="0" xfId="0" applyNumberFormat="1" applyFont="1"/>
    <xf numFmtId="9" fontId="73" fillId="0" borderId="0" xfId="950" applyFont="1"/>
    <xf numFmtId="9" fontId="74" fillId="0" borderId="0" xfId="950" applyFont="1"/>
    <xf numFmtId="202" fontId="72" fillId="0" borderId="0" xfId="0" applyNumberFormat="1" applyFont="1" applyAlignment="1">
      <alignment horizontal="center" vertical="center"/>
    </xf>
    <xf numFmtId="0" fontId="71" fillId="0" borderId="36" xfId="0" applyFont="1" applyBorder="1"/>
    <xf numFmtId="186" fontId="72" fillId="0" borderId="0" xfId="0" applyNumberFormat="1" applyFont="1"/>
    <xf numFmtId="2" fontId="72" fillId="0" borderId="0" xfId="0" applyNumberFormat="1" applyFont="1" applyAlignment="1">
      <alignment horizontal="right" vertical="center"/>
    </xf>
    <xf numFmtId="2" fontId="72" fillId="0" borderId="0" xfId="0" applyNumberFormat="1" applyFont="1"/>
    <xf numFmtId="2" fontId="72" fillId="0" borderId="0" xfId="0" applyNumberFormat="1" applyFont="1" applyAlignment="1">
      <alignment vertical="center"/>
    </xf>
    <xf numFmtId="0" fontId="72" fillId="0" borderId="0" xfId="0" applyFont="1" applyAlignment="1">
      <alignment vertical="center" wrapText="1"/>
    </xf>
    <xf numFmtId="0" fontId="80" fillId="0" borderId="64" xfId="0" applyFont="1" applyBorder="1" applyAlignment="1">
      <alignment vertical="center"/>
    </xf>
    <xf numFmtId="0" fontId="80" fillId="0" borderId="0" xfId="0" applyFont="1" applyAlignment="1">
      <alignment vertical="center"/>
    </xf>
    <xf numFmtId="0" fontId="77" fillId="0" borderId="0" xfId="0" applyFont="1" applyAlignment="1">
      <alignment horizontal="right" vertical="center"/>
    </xf>
    <xf numFmtId="14" fontId="86" fillId="73" borderId="49" xfId="904" applyNumberFormat="1" applyFont="1" applyFill="1" applyBorder="1" applyAlignment="1">
      <alignment horizontal="center" vertical="center"/>
    </xf>
    <xf numFmtId="14" fontId="86" fillId="73" borderId="50" xfId="904" applyNumberFormat="1" applyFont="1" applyFill="1" applyBorder="1" applyAlignment="1">
      <alignment horizontal="center" vertical="center"/>
    </xf>
    <xf numFmtId="203" fontId="86" fillId="73" borderId="55" xfId="904" applyNumberFormat="1" applyFont="1" applyFill="1" applyBorder="1" applyAlignment="1">
      <alignment horizontal="center" vertical="top"/>
    </xf>
    <xf numFmtId="203" fontId="86" fillId="73" borderId="56" xfId="904" applyNumberFormat="1" applyFont="1" applyFill="1" applyBorder="1" applyAlignment="1">
      <alignment horizontal="center" vertical="top"/>
    </xf>
    <xf numFmtId="203" fontId="86" fillId="0" borderId="54" xfId="904" applyNumberFormat="1" applyFont="1" applyBorder="1" applyAlignment="1">
      <alignment horizontal="left" vertical="center" indent="1"/>
    </xf>
    <xf numFmtId="203" fontId="87" fillId="0" borderId="1" xfId="904" quotePrefix="1" applyNumberFormat="1" applyFont="1" applyBorder="1" applyAlignment="1">
      <alignment horizontal="center" vertical="center"/>
    </xf>
    <xf numFmtId="203" fontId="87" fillId="0" borderId="1" xfId="904" applyNumberFormat="1" applyFont="1" applyBorder="1" applyAlignment="1">
      <alignment vertical="center"/>
    </xf>
    <xf numFmtId="203" fontId="87" fillId="0" borderId="45" xfId="904" applyNumberFormat="1" applyFont="1" applyBorder="1" applyAlignment="1">
      <alignment vertical="center"/>
    </xf>
    <xf numFmtId="203" fontId="87" fillId="0" borderId="54" xfId="904" applyNumberFormat="1" applyFont="1" applyBorder="1" applyAlignment="1">
      <alignment horizontal="left" vertical="center" indent="3"/>
    </xf>
    <xf numFmtId="203" fontId="87" fillId="0" borderId="1" xfId="904" applyNumberFormat="1" applyFont="1" applyBorder="1" applyAlignment="1">
      <alignment horizontal="center" vertical="center"/>
    </xf>
    <xf numFmtId="203" fontId="86" fillId="73" borderId="54" xfId="904" applyNumberFormat="1" applyFont="1" applyFill="1" applyBorder="1" applyAlignment="1">
      <alignment horizontal="left" vertical="center" wrapText="1"/>
    </xf>
    <xf numFmtId="203" fontId="86" fillId="73" borderId="1" xfId="904" applyNumberFormat="1" applyFont="1" applyFill="1" applyBorder="1" applyAlignment="1">
      <alignment horizontal="center" vertical="center"/>
    </xf>
    <xf numFmtId="203" fontId="86" fillId="96" borderId="54" xfId="904" applyNumberFormat="1" applyFont="1" applyFill="1" applyBorder="1" applyAlignment="1">
      <alignment horizontal="left" vertical="center"/>
    </xf>
    <xf numFmtId="203" fontId="86" fillId="0" borderId="1" xfId="904" applyNumberFormat="1" applyFont="1" applyBorder="1" applyAlignment="1">
      <alignment horizontal="center" vertical="center"/>
    </xf>
    <xf numFmtId="203" fontId="86" fillId="73" borderId="54" xfId="904" applyNumberFormat="1" applyFont="1" applyFill="1" applyBorder="1" applyAlignment="1">
      <alignment horizontal="left" vertical="center" indent="2"/>
    </xf>
    <xf numFmtId="203" fontId="86" fillId="73" borderId="57" xfId="904" applyNumberFormat="1" applyFont="1" applyFill="1" applyBorder="1" applyAlignment="1">
      <alignment horizontal="left" vertical="center" indent="2"/>
    </xf>
    <xf numFmtId="203" fontId="86" fillId="73" borderId="46" xfId="904" applyNumberFormat="1" applyFont="1" applyFill="1" applyBorder="1" applyAlignment="1">
      <alignment horizontal="center" vertical="center"/>
    </xf>
    <xf numFmtId="203" fontId="86" fillId="0" borderId="1" xfId="904" applyNumberFormat="1" applyFont="1" applyBorder="1" applyAlignment="1">
      <alignment horizontal="left" vertical="center" indent="2"/>
    </xf>
    <xf numFmtId="203" fontId="86" fillId="73" borderId="54" xfId="904" applyNumberFormat="1" applyFont="1" applyFill="1" applyBorder="1" applyAlignment="1">
      <alignment horizontal="left" vertical="center" wrapText="1" indent="2"/>
    </xf>
    <xf numFmtId="203" fontId="86" fillId="73" borderId="1" xfId="904" applyNumberFormat="1" applyFont="1" applyFill="1" applyBorder="1" applyAlignment="1">
      <alignment horizontal="left" vertical="center" indent="3"/>
    </xf>
    <xf numFmtId="203" fontId="86" fillId="73" borderId="54" xfId="904" applyNumberFormat="1" applyFont="1" applyFill="1" applyBorder="1" applyAlignment="1">
      <alignment horizontal="left" vertical="center" indent="1"/>
    </xf>
    <xf numFmtId="203" fontId="86" fillId="0" borderId="58" xfId="904" applyNumberFormat="1" applyFont="1" applyBorder="1" applyAlignment="1">
      <alignment vertical="center"/>
    </xf>
    <xf numFmtId="203" fontId="78" fillId="0" borderId="54" xfId="904" applyNumberFormat="1" applyFont="1" applyBorder="1" applyAlignment="1">
      <alignment horizontal="left" vertical="center" indent="3"/>
    </xf>
    <xf numFmtId="203" fontId="86" fillId="0" borderId="54" xfId="904" applyNumberFormat="1" applyFont="1" applyBorder="1" applyAlignment="1">
      <alignment horizontal="left" vertical="center" wrapText="1" indent="3"/>
    </xf>
    <xf numFmtId="203" fontId="87" fillId="0" borderId="54" xfId="904" applyNumberFormat="1" applyFont="1" applyBorder="1" applyAlignment="1">
      <alignment horizontal="left" vertical="center"/>
    </xf>
    <xf numFmtId="203" fontId="87" fillId="73" borderId="1" xfId="904" applyNumberFormat="1" applyFont="1" applyFill="1" applyBorder="1" applyAlignment="1">
      <alignment horizontal="center" vertical="center"/>
    </xf>
    <xf numFmtId="203" fontId="86" fillId="73" borderId="57" xfId="904" applyNumberFormat="1" applyFont="1" applyFill="1" applyBorder="1" applyAlignment="1">
      <alignment horizontal="left" vertical="center" indent="1"/>
    </xf>
    <xf numFmtId="203" fontId="86" fillId="73" borderId="46" xfId="904" applyNumberFormat="1" applyFont="1" applyFill="1" applyBorder="1" applyAlignment="1">
      <alignment horizontal="left" vertical="center" indent="3"/>
    </xf>
    <xf numFmtId="203" fontId="87" fillId="0" borderId="54" xfId="904" applyNumberFormat="1" applyFont="1" applyBorder="1" applyAlignment="1">
      <alignment vertical="center"/>
    </xf>
    <xf numFmtId="203" fontId="87" fillId="0" borderId="59" xfId="904" applyNumberFormat="1" applyFont="1" applyBorder="1" applyAlignment="1">
      <alignment vertical="center"/>
    </xf>
    <xf numFmtId="49" fontId="87" fillId="0" borderId="1" xfId="904" applyNumberFormat="1" applyFont="1" applyBorder="1" applyAlignment="1">
      <alignment horizontal="center" vertical="center"/>
    </xf>
    <xf numFmtId="0" fontId="87" fillId="0" borderId="54" xfId="904" applyFont="1" applyBorder="1" applyAlignment="1">
      <alignment vertical="center"/>
    </xf>
    <xf numFmtId="3" fontId="87" fillId="0" borderId="1" xfId="904" applyNumberFormat="1" applyFont="1" applyBorder="1" applyAlignment="1">
      <alignment vertical="center"/>
    </xf>
    <xf numFmtId="0" fontId="86" fillId="73" borderId="54" xfId="904" applyFont="1" applyFill="1" applyBorder="1" applyAlignment="1">
      <alignment vertical="center"/>
    </xf>
    <xf numFmtId="0" fontId="86" fillId="73" borderId="1" xfId="904" applyFont="1" applyFill="1" applyBorder="1" applyAlignment="1">
      <alignment horizontal="center" vertical="center"/>
    </xf>
    <xf numFmtId="3" fontId="86" fillId="73" borderId="1" xfId="904" applyNumberFormat="1" applyFont="1" applyFill="1" applyBorder="1" applyAlignment="1">
      <alignment vertical="center"/>
    </xf>
    <xf numFmtId="3" fontId="86" fillId="73" borderId="59" xfId="904" applyNumberFormat="1" applyFont="1" applyFill="1" applyBorder="1" applyAlignment="1">
      <alignment vertical="center"/>
    </xf>
    <xf numFmtId="3" fontId="86" fillId="73" borderId="45" xfId="904" applyNumberFormat="1" applyFont="1" applyFill="1" applyBorder="1" applyAlignment="1">
      <alignment vertical="center"/>
    </xf>
    <xf numFmtId="0" fontId="86" fillId="73" borderId="1" xfId="904" applyFont="1" applyFill="1" applyBorder="1" applyAlignment="1">
      <alignment horizontal="left" vertical="center" indent="3"/>
    </xf>
    <xf numFmtId="0" fontId="87" fillId="0" borderId="1" xfId="904" applyFont="1" applyBorder="1" applyAlignment="1">
      <alignment horizontal="center" vertical="center"/>
    </xf>
    <xf numFmtId="3" fontId="87" fillId="0" borderId="45" xfId="904" applyNumberFormat="1" applyFont="1" applyBorder="1" applyAlignment="1">
      <alignment vertical="center"/>
    </xf>
    <xf numFmtId="0" fontId="86" fillId="0" borderId="54" xfId="904" applyFont="1" applyBorder="1" applyAlignment="1">
      <alignment vertical="center" wrapText="1"/>
    </xf>
    <xf numFmtId="0" fontId="87" fillId="0" borderId="1" xfId="904" applyFont="1" applyBorder="1" applyAlignment="1">
      <alignment horizontal="left" vertical="center" indent="3"/>
    </xf>
    <xf numFmtId="3" fontId="87" fillId="0" borderId="1" xfId="904" applyNumberFormat="1" applyFont="1" applyBorder="1" applyAlignment="1">
      <alignment horizontal="center" vertical="center"/>
    </xf>
    <xf numFmtId="3" fontId="87" fillId="0" borderId="59" xfId="904" applyNumberFormat="1" applyFont="1" applyBorder="1" applyAlignment="1">
      <alignment horizontal="center" vertical="center"/>
    </xf>
    <xf numFmtId="0" fontId="86" fillId="73" borderId="54" xfId="904" applyFont="1" applyFill="1" applyBorder="1" applyAlignment="1">
      <alignment vertical="center" wrapText="1"/>
    </xf>
    <xf numFmtId="3" fontId="86" fillId="98" borderId="1" xfId="904" applyNumberFormat="1" applyFont="1" applyFill="1" applyBorder="1" applyAlignment="1">
      <alignment vertical="center"/>
    </xf>
    <xf numFmtId="0" fontId="86" fillId="98" borderId="54" xfId="904" applyFont="1" applyFill="1" applyBorder="1" applyAlignment="1">
      <alignment vertical="center"/>
    </xf>
    <xf numFmtId="0" fontId="86" fillId="98" borderId="1" xfId="904" applyFont="1" applyFill="1" applyBorder="1" applyAlignment="1">
      <alignment horizontal="left" vertical="center" indent="3"/>
    </xf>
    <xf numFmtId="3" fontId="86" fillId="98" borderId="59" xfId="904" applyNumberFormat="1" applyFont="1" applyFill="1" applyBorder="1" applyAlignment="1">
      <alignment vertical="center"/>
    </xf>
    <xf numFmtId="3" fontId="86" fillId="98" borderId="45" xfId="904" applyNumberFormat="1" applyFont="1" applyFill="1" applyBorder="1" applyAlignment="1">
      <alignment vertical="center"/>
    </xf>
    <xf numFmtId="0" fontId="86" fillId="0" borderId="54" xfId="904" applyFont="1" applyBorder="1" applyAlignment="1">
      <alignment vertical="center"/>
    </xf>
    <xf numFmtId="3" fontId="87" fillId="0" borderId="0" xfId="904" applyNumberFormat="1" applyFont="1"/>
    <xf numFmtId="0" fontId="87" fillId="0" borderId="0" xfId="904" applyFont="1"/>
    <xf numFmtId="0" fontId="86" fillId="73" borderId="57" xfId="904" applyFont="1" applyFill="1" applyBorder="1" applyAlignment="1">
      <alignment vertical="center"/>
    </xf>
    <xf numFmtId="0" fontId="87" fillId="73" borderId="46" xfId="904" applyFont="1" applyFill="1" applyBorder="1" applyAlignment="1">
      <alignment horizontal="center" vertical="center"/>
    </xf>
    <xf numFmtId="199" fontId="86" fillId="73" borderId="46" xfId="904" applyNumberFormat="1" applyFont="1" applyFill="1" applyBorder="1" applyAlignment="1">
      <alignment vertical="center"/>
    </xf>
    <xf numFmtId="203" fontId="87" fillId="0" borderId="41" xfId="0" applyNumberFormat="1" applyFont="1" applyBorder="1" applyAlignment="1">
      <alignment horizontal="left" vertical="center" wrapText="1"/>
    </xf>
    <xf numFmtId="203" fontId="87" fillId="0" borderId="42" xfId="0" applyNumberFormat="1" applyFont="1" applyBorder="1" applyAlignment="1">
      <alignment horizontal="center" vertical="center" wrapText="1"/>
    </xf>
    <xf numFmtId="203" fontId="86" fillId="0" borderId="41" xfId="0" applyNumberFormat="1" applyFont="1" applyBorder="1" applyAlignment="1">
      <alignment horizontal="left" vertical="center" wrapText="1"/>
    </xf>
    <xf numFmtId="203" fontId="86" fillId="0" borderId="42" xfId="0" applyNumberFormat="1" applyFont="1" applyBorder="1" applyAlignment="1">
      <alignment horizontal="center" vertical="center" wrapText="1"/>
    </xf>
    <xf numFmtId="0" fontId="87" fillId="0" borderId="0" xfId="903" applyFont="1"/>
    <xf numFmtId="0" fontId="87" fillId="0" borderId="0" xfId="0" applyFont="1"/>
    <xf numFmtId="0" fontId="86" fillId="97" borderId="40" xfId="0" applyFont="1" applyFill="1" applyBorder="1" applyAlignment="1">
      <alignment horizontal="center" vertical="center"/>
    </xf>
    <xf numFmtId="0" fontId="86" fillId="97" borderId="44" xfId="0" applyFont="1" applyFill="1" applyBorder="1" applyAlignment="1">
      <alignment horizontal="center" vertical="center"/>
    </xf>
    <xf numFmtId="0" fontId="87" fillId="0" borderId="42" xfId="0" applyFont="1" applyBorder="1" applyAlignment="1">
      <alignment horizontal="center" vertical="center" wrapText="1"/>
    </xf>
    <xf numFmtId="3" fontId="87" fillId="0" borderId="0" xfId="0" applyNumberFormat="1" applyFont="1" applyAlignment="1">
      <alignment wrapText="1"/>
    </xf>
    <xf numFmtId="0" fontId="87" fillId="0" borderId="0" xfId="0" applyFont="1" applyAlignment="1">
      <alignment wrapText="1"/>
    </xf>
    <xf numFmtId="0" fontId="87" fillId="0" borderId="41" xfId="0" applyFont="1" applyBorder="1" applyAlignment="1">
      <alignment horizontal="left" vertical="center" wrapText="1"/>
    </xf>
    <xf numFmtId="0" fontId="86" fillId="96" borderId="41" xfId="0" applyFont="1" applyFill="1" applyBorder="1" applyAlignment="1">
      <alignment horizontal="left" vertical="center" wrapText="1"/>
    </xf>
    <xf numFmtId="0" fontId="87" fillId="96" borderId="42" xfId="0" applyFont="1" applyFill="1" applyBorder="1" applyAlignment="1">
      <alignment horizontal="center" vertical="center" wrapText="1"/>
    </xf>
    <xf numFmtId="0" fontId="86" fillId="96" borderId="42" xfId="0" applyFont="1" applyFill="1" applyBorder="1" applyAlignment="1">
      <alignment horizontal="center" vertical="center" wrapText="1"/>
    </xf>
    <xf numFmtId="0" fontId="86" fillId="96" borderId="41" xfId="0" applyFont="1" applyFill="1" applyBorder="1" applyAlignment="1">
      <alignment vertical="center" wrapText="1"/>
    </xf>
    <xf numFmtId="0" fontId="87" fillId="96" borderId="41" xfId="0" applyFont="1" applyFill="1" applyBorder="1" applyAlignment="1">
      <alignment horizontal="left" vertical="center" wrapText="1"/>
    </xf>
    <xf numFmtId="3" fontId="69" fillId="0" borderId="0" xfId="0" applyNumberFormat="1" applyFont="1" applyAlignment="1">
      <alignment wrapText="1"/>
    </xf>
    <xf numFmtId="0" fontId="86" fillId="96" borderId="51" xfId="0" applyFont="1" applyFill="1" applyBorder="1" applyAlignment="1">
      <alignment horizontal="left" vertical="center" wrapText="1"/>
    </xf>
    <xf numFmtId="0" fontId="86" fillId="96" borderId="48" xfId="0" applyFont="1" applyFill="1" applyBorder="1" applyAlignment="1">
      <alignment horizontal="center" vertical="center" wrapText="1"/>
    </xf>
    <xf numFmtId="0" fontId="87" fillId="0" borderId="0" xfId="903" applyFont="1" applyAlignment="1">
      <alignment horizontal="center"/>
    </xf>
    <xf numFmtId="0" fontId="86" fillId="0" borderId="0" xfId="904" applyFont="1"/>
    <xf numFmtId="3" fontId="87" fillId="0" borderId="0" xfId="903" applyNumberFormat="1" applyFont="1"/>
    <xf numFmtId="191" fontId="86" fillId="0" borderId="0" xfId="904" applyNumberFormat="1" applyFont="1" applyAlignment="1">
      <alignment horizontal="center" vertical="center"/>
    </xf>
    <xf numFmtId="192" fontId="86" fillId="0" borderId="0" xfId="904" applyNumberFormat="1" applyFont="1" applyAlignment="1">
      <alignment horizontal="center" vertical="top"/>
    </xf>
    <xf numFmtId="0" fontId="87" fillId="0" borderId="0" xfId="904" applyFont="1" applyAlignment="1">
      <alignment vertical="center"/>
    </xf>
    <xf numFmtId="3" fontId="87" fillId="0" borderId="0" xfId="904" applyNumberFormat="1" applyFont="1" applyAlignment="1">
      <alignment vertical="center"/>
    </xf>
    <xf numFmtId="3" fontId="86" fillId="0" borderId="0" xfId="904" applyNumberFormat="1" applyFont="1" applyAlignment="1">
      <alignment vertical="center"/>
    </xf>
    <xf numFmtId="0" fontId="90" fillId="0" borderId="0" xfId="904" applyFont="1"/>
    <xf numFmtId="3" fontId="86" fillId="0" borderId="0" xfId="904" applyNumberFormat="1" applyFont="1" applyAlignment="1">
      <alignment horizontal="right" vertical="center"/>
    </xf>
    <xf numFmtId="0" fontId="87" fillId="0" borderId="0" xfId="0" applyFont="1" applyAlignment="1">
      <alignment horizontal="left" vertical="center" indent="1"/>
    </xf>
    <xf numFmtId="0" fontId="87" fillId="0" borderId="0" xfId="0" applyFont="1" applyAlignment="1">
      <alignment horizontal="left" vertical="center" indent="2"/>
    </xf>
    <xf numFmtId="3" fontId="87" fillId="0" borderId="0" xfId="0" applyNumberFormat="1" applyFont="1" applyAlignment="1">
      <alignment vertical="center"/>
    </xf>
    <xf numFmtId="0" fontId="91" fillId="0" borderId="0" xfId="0" applyFont="1"/>
    <xf numFmtId="0" fontId="92" fillId="0" borderId="0" xfId="0" applyFont="1"/>
    <xf numFmtId="0" fontId="93" fillId="0" borderId="0" xfId="0" applyFont="1"/>
    <xf numFmtId="184" fontId="92" fillId="0" borderId="0" xfId="0" applyNumberFormat="1" applyFont="1"/>
    <xf numFmtId="178" fontId="92" fillId="0" borderId="0" xfId="0" applyNumberFormat="1" applyFont="1"/>
    <xf numFmtId="170" fontId="92" fillId="0" borderId="0" xfId="0" applyNumberFormat="1" applyFont="1"/>
    <xf numFmtId="169" fontId="92" fillId="0" borderId="0" xfId="836" quotePrefix="1" applyNumberFormat="1" applyFont="1" applyBorder="1" applyAlignment="1">
      <alignment horizontal="center"/>
    </xf>
    <xf numFmtId="0" fontId="94" fillId="93" borderId="27" xfId="0" applyFont="1" applyFill="1" applyBorder="1"/>
    <xf numFmtId="0" fontId="95" fillId="93" borderId="28" xfId="0" applyFont="1" applyFill="1" applyBorder="1"/>
    <xf numFmtId="49" fontId="94" fillId="93" borderId="28" xfId="836" applyNumberFormat="1" applyFont="1" applyFill="1" applyBorder="1" applyAlignment="1">
      <alignment horizontal="center"/>
    </xf>
    <xf numFmtId="169" fontId="91" fillId="0" borderId="0" xfId="836" quotePrefix="1" applyNumberFormat="1" applyFont="1" applyFill="1" applyAlignment="1">
      <alignment horizontal="center"/>
    </xf>
    <xf numFmtId="169" fontId="91" fillId="0" borderId="0" xfId="836" quotePrefix="1" applyNumberFormat="1" applyFont="1" applyFill="1" applyBorder="1" applyAlignment="1">
      <alignment horizontal="center"/>
    </xf>
    <xf numFmtId="0" fontId="92" fillId="0" borderId="0" xfId="0" applyFont="1" applyAlignment="1">
      <alignment horizontal="center"/>
    </xf>
    <xf numFmtId="14" fontId="92" fillId="0" borderId="0" xfId="0" applyNumberFormat="1" applyFont="1" applyAlignment="1">
      <alignment horizontal="center"/>
    </xf>
    <xf numFmtId="0" fontId="91" fillId="0" borderId="29" xfId="0" applyFont="1" applyBorder="1"/>
    <xf numFmtId="0" fontId="92" fillId="0" borderId="30" xfId="0" applyFont="1" applyBorder="1"/>
    <xf numFmtId="0" fontId="92" fillId="0" borderId="62" xfId="0" applyFont="1" applyBorder="1"/>
    <xf numFmtId="0" fontId="92" fillId="0" borderId="31" xfId="0" applyFont="1" applyBorder="1"/>
    <xf numFmtId="0" fontId="91" fillId="0" borderId="24" xfId="0" applyFont="1" applyBorder="1"/>
    <xf numFmtId="183" fontId="93" fillId="0" borderId="0" xfId="0" applyNumberFormat="1" applyFont="1"/>
    <xf numFmtId="0" fontId="92" fillId="0" borderId="29" xfId="0" applyFont="1" applyBorder="1"/>
    <xf numFmtId="0" fontId="92" fillId="0" borderId="30" xfId="0" applyFont="1" applyBorder="1" applyAlignment="1">
      <alignment horizontal="center"/>
    </xf>
    <xf numFmtId="169" fontId="92" fillId="0" borderId="30" xfId="836" applyNumberFormat="1" applyFont="1" applyBorder="1"/>
    <xf numFmtId="169" fontId="92" fillId="0" borderId="62" xfId="836" applyNumberFormat="1" applyFont="1" applyBorder="1"/>
    <xf numFmtId="169" fontId="92" fillId="0" borderId="31" xfId="836" applyNumberFormat="1" applyFont="1" applyBorder="1"/>
    <xf numFmtId="179" fontId="92" fillId="0" borderId="0" xfId="836" applyNumberFormat="1" applyFont="1"/>
    <xf numFmtId="0" fontId="92" fillId="0" borderId="25" xfId="0" applyFont="1" applyBorder="1"/>
    <xf numFmtId="170" fontId="92" fillId="0" borderId="25" xfId="0" applyNumberFormat="1" applyFont="1" applyBorder="1"/>
    <xf numFmtId="2" fontId="96" fillId="0" borderId="0" xfId="0" applyNumberFormat="1" applyFont="1"/>
    <xf numFmtId="2" fontId="91" fillId="0" borderId="0" xfId="0" applyNumberFormat="1" applyFont="1"/>
    <xf numFmtId="188" fontId="92" fillId="0" borderId="0" xfId="950" applyNumberFormat="1" applyFont="1"/>
    <xf numFmtId="188" fontId="93" fillId="0" borderId="0" xfId="950" applyNumberFormat="1" applyFont="1" applyFill="1" applyBorder="1"/>
    <xf numFmtId="0" fontId="94" fillId="93" borderId="29" xfId="0" applyFont="1" applyFill="1" applyBorder="1"/>
    <xf numFmtId="0" fontId="95" fillId="93" borderId="30" xfId="0" applyFont="1" applyFill="1" applyBorder="1"/>
    <xf numFmtId="169" fontId="94" fillId="93" borderId="30" xfId="836" applyNumberFormat="1" applyFont="1" applyFill="1" applyBorder="1"/>
    <xf numFmtId="169" fontId="94" fillId="93" borderId="62" xfId="836" applyNumberFormat="1" applyFont="1" applyFill="1" applyBorder="1"/>
    <xf numFmtId="169" fontId="92" fillId="0" borderId="0" xfId="836" applyNumberFormat="1" applyFont="1"/>
    <xf numFmtId="169" fontId="91" fillId="0" borderId="0" xfId="836" applyNumberFormat="1" applyFont="1"/>
    <xf numFmtId="2" fontId="92" fillId="0" borderId="0" xfId="0" applyNumberFormat="1" applyFont="1"/>
    <xf numFmtId="0" fontId="94" fillId="93" borderId="32" xfId="0" applyFont="1" applyFill="1" applyBorder="1"/>
    <xf numFmtId="0" fontId="95" fillId="93" borderId="33" xfId="0" applyFont="1" applyFill="1" applyBorder="1"/>
    <xf numFmtId="169" fontId="94" fillId="93" borderId="33" xfId="836" applyNumberFormat="1" applyFont="1" applyFill="1" applyBorder="1"/>
    <xf numFmtId="169" fontId="94" fillId="93" borderId="63" xfId="836" applyNumberFormat="1" applyFont="1" applyFill="1" applyBorder="1"/>
    <xf numFmtId="2" fontId="96" fillId="0" borderId="0" xfId="950" applyNumberFormat="1" applyFont="1" applyFill="1"/>
    <xf numFmtId="10" fontId="91" fillId="0" borderId="0" xfId="0" applyNumberFormat="1" applyFont="1"/>
    <xf numFmtId="0" fontId="92" fillId="0" borderId="35" xfId="0" applyFont="1" applyBorder="1"/>
    <xf numFmtId="200" fontId="70" fillId="0" borderId="0" xfId="836" applyNumberFormat="1" applyFont="1" applyBorder="1"/>
    <xf numFmtId="49" fontId="94" fillId="93" borderId="28" xfId="836" quotePrefix="1" applyNumberFormat="1" applyFont="1" applyFill="1" applyBorder="1" applyAlignment="1">
      <alignment horizontal="center"/>
    </xf>
    <xf numFmtId="0" fontId="91" fillId="0" borderId="30" xfId="0" applyFont="1" applyBorder="1" applyAlignment="1">
      <alignment horizontal="center"/>
    </xf>
    <xf numFmtId="186" fontId="92" fillId="0" borderId="30" xfId="836" applyNumberFormat="1" applyFont="1" applyFill="1" applyBorder="1"/>
    <xf numFmtId="186" fontId="92" fillId="0" borderId="31" xfId="836" applyNumberFormat="1" applyFont="1" applyFill="1" applyBorder="1"/>
    <xf numFmtId="0" fontId="97" fillId="0" borderId="0" xfId="0" applyFont="1"/>
    <xf numFmtId="169" fontId="93" fillId="0" borderId="0" xfId="0" applyNumberFormat="1" applyFont="1"/>
    <xf numFmtId="186" fontId="91" fillId="0" borderId="30" xfId="836" applyNumberFormat="1" applyFont="1" applyFill="1" applyBorder="1"/>
    <xf numFmtId="186" fontId="91" fillId="0" borderId="31" xfId="836" applyNumberFormat="1" applyFont="1" applyFill="1" applyBorder="1"/>
    <xf numFmtId="176" fontId="93" fillId="0" borderId="0" xfId="836" applyNumberFormat="1" applyFont="1" applyFill="1" applyBorder="1"/>
    <xf numFmtId="171" fontId="91" fillId="0" borderId="0" xfId="0" applyNumberFormat="1" applyFont="1"/>
    <xf numFmtId="173" fontId="92" fillId="0" borderId="0" xfId="0" applyNumberFormat="1" applyFont="1"/>
    <xf numFmtId="188" fontId="92" fillId="0" borderId="0" xfId="950" applyNumberFormat="1" applyFont="1" applyFill="1" applyBorder="1"/>
    <xf numFmtId="0" fontId="92" fillId="0" borderId="32" xfId="0" applyFont="1" applyBorder="1"/>
    <xf numFmtId="0" fontId="92" fillId="0" borderId="33" xfId="0" applyFont="1" applyBorder="1" applyAlignment="1">
      <alignment horizontal="center"/>
    </xf>
    <xf numFmtId="186" fontId="92" fillId="0" borderId="33" xfId="836" applyNumberFormat="1" applyFont="1" applyFill="1" applyBorder="1"/>
    <xf numFmtId="0" fontId="98" fillId="0" borderId="24" xfId="0" applyFont="1" applyBorder="1"/>
    <xf numFmtId="0" fontId="99" fillId="0" borderId="0" xfId="0" applyFont="1"/>
    <xf numFmtId="170" fontId="99" fillId="0" borderId="0" xfId="0" applyNumberFormat="1" applyFont="1"/>
    <xf numFmtId="169" fontId="99" fillId="0" borderId="0" xfId="836" applyNumberFormat="1" applyFont="1"/>
    <xf numFmtId="186" fontId="92" fillId="0" borderId="0" xfId="836" applyNumberFormat="1" applyFont="1" applyBorder="1"/>
    <xf numFmtId="188" fontId="92" fillId="0" borderId="0" xfId="950" applyNumberFormat="1" applyFont="1" applyBorder="1"/>
    <xf numFmtId="189" fontId="99" fillId="0" borderId="0" xfId="0" applyNumberFormat="1" applyFont="1"/>
    <xf numFmtId="176" fontId="92" fillId="0" borderId="0" xfId="836" applyNumberFormat="1" applyFont="1"/>
    <xf numFmtId="169" fontId="94" fillId="93" borderId="28" xfId="836" quotePrefix="1" applyNumberFormat="1" applyFont="1" applyFill="1" applyBorder="1" applyAlignment="1">
      <alignment horizontal="center"/>
    </xf>
    <xf numFmtId="186" fontId="92" fillId="0" borderId="30" xfId="836" applyNumberFormat="1" applyFont="1" applyBorder="1"/>
    <xf numFmtId="182" fontId="92" fillId="0" borderId="0" xfId="0" applyNumberFormat="1" applyFont="1"/>
    <xf numFmtId="187" fontId="92" fillId="0" borderId="0" xfId="950" applyNumberFormat="1" applyFont="1"/>
    <xf numFmtId="174" fontId="91" fillId="0" borderId="0" xfId="0" applyNumberFormat="1" applyFont="1"/>
    <xf numFmtId="186" fontId="91" fillId="0" borderId="30" xfId="836" applyNumberFormat="1" applyFont="1" applyBorder="1"/>
    <xf numFmtId="0" fontId="98" fillId="0" borderId="0" xfId="0" applyFont="1"/>
    <xf numFmtId="170" fontId="98" fillId="0" borderId="0" xfId="0" applyNumberFormat="1" applyFont="1"/>
    <xf numFmtId="2" fontId="99" fillId="0" borderId="0" xfId="0" applyNumberFormat="1" applyFont="1"/>
    <xf numFmtId="10" fontId="99" fillId="0" borderId="0" xfId="950" applyNumberFormat="1" applyFont="1"/>
    <xf numFmtId="0" fontId="95" fillId="93" borderId="33" xfId="0" applyFont="1" applyFill="1" applyBorder="1" applyAlignment="1">
      <alignment horizontal="center"/>
    </xf>
    <xf numFmtId="186" fontId="94" fillId="93" borderId="33" xfId="836" applyNumberFormat="1" applyFont="1" applyFill="1" applyBorder="1"/>
    <xf numFmtId="173" fontId="91" fillId="0" borderId="0" xfId="0" applyNumberFormat="1" applyFont="1"/>
    <xf numFmtId="2" fontId="99" fillId="0" borderId="0" xfId="950" applyNumberFormat="1" applyFont="1" applyFill="1"/>
    <xf numFmtId="10" fontId="99" fillId="0" borderId="0" xfId="950" applyNumberFormat="1" applyFont="1" applyFill="1" applyBorder="1"/>
    <xf numFmtId="0" fontId="92" fillId="94" borderId="27" xfId="0" applyFont="1" applyFill="1" applyBorder="1"/>
    <xf numFmtId="0" fontId="92" fillId="94" borderId="29" xfId="0" applyFont="1" applyFill="1" applyBorder="1"/>
    <xf numFmtId="49" fontId="92" fillId="94" borderId="30" xfId="836" applyNumberFormat="1" applyFont="1" applyFill="1" applyBorder="1" applyAlignment="1">
      <alignment horizontal="left"/>
    </xf>
    <xf numFmtId="170" fontId="91" fillId="0" borderId="0" xfId="0" applyNumberFormat="1" applyFont="1"/>
    <xf numFmtId="186" fontId="92" fillId="94" borderId="31" xfId="836" applyNumberFormat="1" applyFont="1" applyFill="1" applyBorder="1"/>
    <xf numFmtId="10" fontId="92" fillId="0" borderId="0" xfId="950" applyNumberFormat="1" applyFont="1" applyFill="1"/>
    <xf numFmtId="0" fontId="92" fillId="94" borderId="32" xfId="0" applyFont="1" applyFill="1" applyBorder="1"/>
    <xf numFmtId="49" fontId="92" fillId="94" borderId="33" xfId="836" applyNumberFormat="1" applyFont="1" applyFill="1" applyBorder="1" applyAlignment="1">
      <alignment horizontal="left"/>
    </xf>
    <xf numFmtId="186" fontId="92" fillId="94" borderId="34" xfId="836" applyNumberFormat="1" applyFont="1" applyFill="1" applyBorder="1"/>
    <xf numFmtId="10" fontId="92" fillId="0" borderId="0" xfId="950" applyNumberFormat="1" applyFont="1"/>
    <xf numFmtId="49" fontId="94" fillId="93" borderId="27" xfId="836" applyNumberFormat="1" applyFont="1" applyFill="1" applyBorder="1" applyAlignment="1">
      <alignment horizontal="left"/>
    </xf>
    <xf numFmtId="10" fontId="93" fillId="0" borderId="0" xfId="0" applyNumberFormat="1" applyFont="1"/>
    <xf numFmtId="169" fontId="92" fillId="0" borderId="0" xfId="0" applyNumberFormat="1" applyFont="1"/>
    <xf numFmtId="170" fontId="93" fillId="0" borderId="0" xfId="0" applyNumberFormat="1" applyFont="1"/>
    <xf numFmtId="0" fontId="95" fillId="93" borderId="32" xfId="0" applyFont="1" applyFill="1" applyBorder="1"/>
    <xf numFmtId="183" fontId="94" fillId="93" borderId="33" xfId="0" applyNumberFormat="1" applyFont="1" applyFill="1" applyBorder="1"/>
    <xf numFmtId="183" fontId="94" fillId="93" borderId="34" xfId="0" applyNumberFormat="1" applyFont="1" applyFill="1" applyBorder="1"/>
    <xf numFmtId="183" fontId="91" fillId="0" borderId="0" xfId="0" applyNumberFormat="1" applyFont="1"/>
    <xf numFmtId="170" fontId="92" fillId="95" borderId="0" xfId="0" applyNumberFormat="1" applyFont="1" applyFill="1"/>
    <xf numFmtId="169" fontId="92" fillId="0" borderId="0" xfId="828" applyNumberFormat="1" applyFont="1"/>
    <xf numFmtId="176" fontId="92" fillId="0" borderId="0" xfId="836" applyNumberFormat="1" applyFont="1" applyFill="1"/>
    <xf numFmtId="169" fontId="94" fillId="93" borderId="28" xfId="836" quotePrefix="1" applyNumberFormat="1" applyFont="1" applyFill="1" applyBorder="1" applyAlignment="1">
      <alignment horizontal="center" vertical="center"/>
    </xf>
    <xf numFmtId="172" fontId="92" fillId="0" borderId="25" xfId="0" applyNumberFormat="1" applyFont="1" applyBorder="1"/>
    <xf numFmtId="177" fontId="92" fillId="0" borderId="25" xfId="836" applyNumberFormat="1" applyFont="1" applyBorder="1"/>
    <xf numFmtId="190" fontId="92" fillId="0" borderId="30" xfId="0" applyNumberFormat="1" applyFont="1" applyBorder="1" applyAlignment="1">
      <alignment horizontal="right"/>
    </xf>
    <xf numFmtId="190" fontId="92" fillId="0" borderId="0" xfId="0" applyNumberFormat="1" applyFont="1"/>
    <xf numFmtId="4" fontId="92" fillId="95" borderId="0" xfId="0" applyNumberFormat="1" applyFont="1" applyFill="1"/>
    <xf numFmtId="172" fontId="92" fillId="0" borderId="0" xfId="0" applyNumberFormat="1" applyFont="1"/>
    <xf numFmtId="185" fontId="92" fillId="0" borderId="0" xfId="0" applyNumberFormat="1" applyFont="1"/>
    <xf numFmtId="10" fontId="100" fillId="0" borderId="0" xfId="0" applyNumberFormat="1" applyFont="1"/>
    <xf numFmtId="190" fontId="91" fillId="0" borderId="30" xfId="0" applyNumberFormat="1" applyFont="1" applyBorder="1" applyAlignment="1">
      <alignment horizontal="right"/>
    </xf>
    <xf numFmtId="0" fontId="101" fillId="0" borderId="0" xfId="0" applyFont="1"/>
    <xf numFmtId="0" fontId="102" fillId="0" borderId="0" xfId="0" applyFont="1"/>
    <xf numFmtId="170" fontId="102" fillId="0" borderId="0" xfId="0" applyNumberFormat="1" applyFont="1"/>
    <xf numFmtId="169" fontId="92" fillId="0" borderId="0" xfId="836" applyNumberFormat="1" applyFont="1" applyFill="1" applyBorder="1"/>
    <xf numFmtId="180" fontId="93" fillId="0" borderId="0" xfId="0" applyNumberFormat="1" applyFont="1"/>
    <xf numFmtId="169" fontId="92" fillId="0" borderId="0" xfId="836" applyNumberFormat="1" applyFont="1" applyBorder="1"/>
    <xf numFmtId="2" fontId="102" fillId="0" borderId="0" xfId="0" applyNumberFormat="1" applyFont="1"/>
    <xf numFmtId="10" fontId="92" fillId="0" borderId="0" xfId="950" applyNumberFormat="1" applyFont="1" applyBorder="1"/>
    <xf numFmtId="10" fontId="93" fillId="0" borderId="0" xfId="950" applyNumberFormat="1" applyFont="1" applyFill="1" applyBorder="1"/>
    <xf numFmtId="10" fontId="102" fillId="0" borderId="0" xfId="0" applyNumberFormat="1" applyFont="1"/>
    <xf numFmtId="0" fontId="102" fillId="0" borderId="0" xfId="0" quotePrefix="1" applyFont="1"/>
    <xf numFmtId="175" fontId="91" fillId="0" borderId="0" xfId="0" applyNumberFormat="1" applyFont="1"/>
    <xf numFmtId="181" fontId="92" fillId="0" borderId="0" xfId="0" applyNumberFormat="1" applyFont="1"/>
    <xf numFmtId="10" fontId="92" fillId="0" borderId="0" xfId="0" applyNumberFormat="1" applyFont="1"/>
    <xf numFmtId="0" fontId="103" fillId="0" borderId="29" xfId="0" applyFont="1" applyBorder="1"/>
    <xf numFmtId="190" fontId="103" fillId="0" borderId="30" xfId="0" applyNumberFormat="1" applyFont="1" applyBorder="1" applyAlignment="1">
      <alignment horizontal="right"/>
    </xf>
    <xf numFmtId="0" fontId="91" fillId="0" borderId="32" xfId="0" applyFont="1" applyBorder="1"/>
    <xf numFmtId="190" fontId="91" fillId="0" borderId="33" xfId="0" applyNumberFormat="1" applyFont="1" applyBorder="1" applyAlignment="1">
      <alignment horizontal="right"/>
    </xf>
    <xf numFmtId="198" fontId="92" fillId="0" borderId="0" xfId="828" applyNumberFormat="1" applyFont="1"/>
    <xf numFmtId="4" fontId="92" fillId="0" borderId="0" xfId="0" applyNumberFormat="1" applyFont="1"/>
    <xf numFmtId="0" fontId="80" fillId="0" borderId="36" xfId="0" applyFont="1" applyBorder="1" applyAlignment="1">
      <alignment horizontal="center"/>
    </xf>
    <xf numFmtId="203" fontId="71" fillId="0" borderId="0" xfId="0" applyNumberFormat="1" applyFont="1" applyAlignment="1">
      <alignment horizontal="right" vertical="center"/>
    </xf>
    <xf numFmtId="203" fontId="72" fillId="0" borderId="0" xfId="0" applyNumberFormat="1" applyFont="1" applyAlignment="1">
      <alignment horizontal="right" vertical="center"/>
    </xf>
    <xf numFmtId="0" fontId="86" fillId="0" borderId="41" xfId="0" applyFont="1" applyBorder="1" applyAlignment="1">
      <alignment horizontal="left" vertical="center" wrapText="1"/>
    </xf>
    <xf numFmtId="191" fontId="86" fillId="73" borderId="71" xfId="904" applyNumberFormat="1" applyFont="1" applyFill="1" applyBorder="1" applyAlignment="1">
      <alignment horizontal="center" vertical="center"/>
    </xf>
    <xf numFmtId="191" fontId="86" fillId="73" borderId="72" xfId="904" applyNumberFormat="1" applyFont="1" applyFill="1" applyBorder="1" applyAlignment="1">
      <alignment horizontal="center" vertical="center"/>
    </xf>
    <xf numFmtId="203" fontId="92" fillId="0" borderId="54" xfId="904" applyNumberFormat="1" applyFont="1" applyBorder="1" applyAlignment="1">
      <alignment vertical="center"/>
    </xf>
    <xf numFmtId="204" fontId="87" fillId="0" borderId="1" xfId="904" applyNumberFormat="1" applyFont="1" applyBorder="1" applyAlignment="1">
      <alignment vertical="center"/>
    </xf>
    <xf numFmtId="0" fontId="92" fillId="0" borderId="41" xfId="877" applyFont="1" applyBorder="1" applyAlignment="1">
      <alignment horizontal="left" vertical="center" wrapText="1"/>
    </xf>
    <xf numFmtId="201" fontId="104" fillId="0" borderId="0" xfId="0" applyNumberFormat="1" applyFont="1"/>
    <xf numFmtId="165" fontId="87" fillId="0" borderId="0" xfId="903" applyNumberFormat="1" applyFont="1" applyAlignment="1">
      <alignment vertical="center"/>
    </xf>
    <xf numFmtId="165" fontId="89" fillId="100" borderId="73" xfId="904" applyNumberFormat="1" applyFont="1" applyFill="1" applyBorder="1" applyAlignment="1">
      <alignment vertical="center"/>
    </xf>
    <xf numFmtId="165" fontId="88" fillId="100" borderId="73" xfId="904" applyNumberFormat="1" applyFont="1" applyFill="1" applyBorder="1" applyAlignment="1">
      <alignment vertical="center"/>
    </xf>
    <xf numFmtId="165" fontId="89" fillId="100" borderId="73" xfId="903" applyNumberFormat="1" applyFont="1" applyFill="1" applyBorder="1" applyAlignment="1">
      <alignment vertical="center"/>
    </xf>
    <xf numFmtId="202" fontId="89" fillId="0" borderId="0" xfId="950" applyNumberFormat="1" applyFont="1" applyFill="1" applyBorder="1" applyAlignment="1">
      <alignment vertical="center"/>
    </xf>
    <xf numFmtId="165" fontId="87" fillId="0" borderId="1" xfId="904" applyNumberFormat="1" applyFont="1" applyBorder="1" applyAlignment="1">
      <alignment vertical="center"/>
    </xf>
    <xf numFmtId="165" fontId="87" fillId="0" borderId="45" xfId="904" applyNumberFormat="1" applyFont="1" applyBorder="1" applyAlignment="1">
      <alignment vertical="center"/>
    </xf>
    <xf numFmtId="165" fontId="86" fillId="73" borderId="1" xfId="904" applyNumberFormat="1" applyFont="1" applyFill="1" applyBorder="1" applyAlignment="1">
      <alignment vertical="center"/>
    </xf>
    <xf numFmtId="165" fontId="86" fillId="73" borderId="45" xfId="904" applyNumberFormat="1" applyFont="1" applyFill="1" applyBorder="1" applyAlignment="1">
      <alignment vertical="center"/>
    </xf>
    <xf numFmtId="165" fontId="86" fillId="73" borderId="1" xfId="904" applyNumberFormat="1" applyFont="1" applyFill="1" applyBorder="1" applyAlignment="1">
      <alignment horizontal="right" vertical="center"/>
    </xf>
    <xf numFmtId="165" fontId="86" fillId="73" borderId="45" xfId="904" applyNumberFormat="1" applyFont="1" applyFill="1" applyBorder="1" applyAlignment="1">
      <alignment horizontal="right" vertical="center"/>
    </xf>
    <xf numFmtId="165" fontId="86" fillId="0" borderId="1" xfId="904" applyNumberFormat="1" applyFont="1" applyBorder="1" applyAlignment="1">
      <alignment vertical="center"/>
    </xf>
    <xf numFmtId="165" fontId="86" fillId="0" borderId="45" xfId="904" applyNumberFormat="1" applyFont="1" applyBorder="1" applyAlignment="1">
      <alignment vertical="center"/>
    </xf>
    <xf numFmtId="165" fontId="86" fillId="73" borderId="46" xfId="904" applyNumberFormat="1" applyFont="1" applyFill="1" applyBorder="1" applyAlignment="1">
      <alignment vertical="center"/>
    </xf>
    <xf numFmtId="165" fontId="86" fillId="73" borderId="47" xfId="904" applyNumberFormat="1" applyFont="1" applyFill="1" applyBorder="1" applyAlignment="1">
      <alignment vertical="center"/>
    </xf>
    <xf numFmtId="165" fontId="86" fillId="0" borderId="58" xfId="904" applyNumberFormat="1" applyFont="1" applyBorder="1" applyAlignment="1">
      <alignment vertical="center"/>
    </xf>
    <xf numFmtId="165" fontId="86" fillId="0" borderId="65" xfId="904" applyNumberFormat="1" applyFont="1" applyBorder="1" applyAlignment="1">
      <alignment vertical="center"/>
    </xf>
    <xf numFmtId="165" fontId="87" fillId="0" borderId="0" xfId="903" applyNumberFormat="1" applyFont="1"/>
    <xf numFmtId="202" fontId="89" fillId="0" borderId="0" xfId="903" applyNumberFormat="1" applyFont="1" applyAlignment="1">
      <alignment vertical="center"/>
    </xf>
    <xf numFmtId="202" fontId="89" fillId="0" borderId="0" xfId="903" applyNumberFormat="1" applyFont="1" applyAlignment="1">
      <alignment horizontal="center" vertical="center"/>
    </xf>
    <xf numFmtId="165" fontId="88" fillId="100" borderId="83" xfId="904" applyNumberFormat="1" applyFont="1" applyFill="1" applyBorder="1" applyAlignment="1">
      <alignment horizontal="center" vertical="center"/>
    </xf>
    <xf numFmtId="202" fontId="88" fillId="100" borderId="84" xfId="904" applyNumberFormat="1" applyFont="1" applyFill="1" applyBorder="1" applyAlignment="1">
      <alignment horizontal="center" vertical="center"/>
    </xf>
    <xf numFmtId="202" fontId="89" fillId="100" borderId="74" xfId="950" applyNumberFormat="1" applyFont="1" applyFill="1" applyBorder="1" applyAlignment="1">
      <alignment vertical="center"/>
    </xf>
    <xf numFmtId="165" fontId="88" fillId="100" borderId="77" xfId="904" applyNumberFormat="1" applyFont="1" applyFill="1" applyBorder="1" applyAlignment="1">
      <alignment vertical="center"/>
    </xf>
    <xf numFmtId="202" fontId="88" fillId="100" borderId="78" xfId="950" applyNumberFormat="1" applyFont="1" applyFill="1" applyBorder="1" applyAlignment="1">
      <alignment vertical="center"/>
    </xf>
    <xf numFmtId="202" fontId="89" fillId="100" borderId="74" xfId="904" applyNumberFormat="1" applyFont="1" applyFill="1" applyBorder="1" applyAlignment="1">
      <alignment vertical="center"/>
    </xf>
    <xf numFmtId="165" fontId="89" fillId="100" borderId="75" xfId="904" applyNumberFormat="1" applyFont="1" applyFill="1" applyBorder="1" applyAlignment="1">
      <alignment vertical="center"/>
    </xf>
    <xf numFmtId="202" fontId="89" fillId="100" borderId="76" xfId="904" applyNumberFormat="1" applyFont="1" applyFill="1" applyBorder="1" applyAlignment="1">
      <alignment vertical="center"/>
    </xf>
    <xf numFmtId="202" fontId="88" fillId="100" borderId="78" xfId="904" applyNumberFormat="1" applyFont="1" applyFill="1" applyBorder="1" applyAlignment="1">
      <alignment vertical="center"/>
    </xf>
    <xf numFmtId="165" fontId="88" fillId="100" borderId="79" xfId="904" applyNumberFormat="1" applyFont="1" applyFill="1" applyBorder="1" applyAlignment="1">
      <alignment horizontal="center" vertical="center"/>
    </xf>
    <xf numFmtId="202" fontId="88" fillId="100" borderId="80" xfId="0" applyNumberFormat="1" applyFont="1" applyFill="1" applyBorder="1" applyAlignment="1">
      <alignment horizontal="center" vertical="center"/>
    </xf>
    <xf numFmtId="202" fontId="89" fillId="100" borderId="74" xfId="0" applyNumberFormat="1" applyFont="1" applyFill="1" applyBorder="1" applyAlignment="1">
      <alignment horizontal="center" vertical="center" wrapText="1"/>
    </xf>
    <xf numFmtId="202" fontId="89" fillId="100" borderId="74" xfId="1700" applyNumberFormat="1" applyFont="1" applyFill="1" applyBorder="1" applyAlignment="1">
      <alignment horizontal="center" vertical="center" wrapText="1"/>
    </xf>
    <xf numFmtId="202" fontId="88" fillId="100" borderId="74" xfId="0" applyNumberFormat="1" applyFont="1" applyFill="1" applyBorder="1" applyAlignment="1">
      <alignment horizontal="center" vertical="center" wrapText="1"/>
    </xf>
    <xf numFmtId="202" fontId="88" fillId="100" borderId="78" xfId="0" applyNumberFormat="1" applyFont="1" applyFill="1" applyBorder="1" applyAlignment="1">
      <alignment horizontal="center" vertical="center" wrapText="1"/>
    </xf>
    <xf numFmtId="202" fontId="88" fillId="100" borderId="74" xfId="1700" applyNumberFormat="1" applyFont="1" applyFill="1" applyBorder="1" applyAlignment="1">
      <alignment horizontal="center" vertical="center" wrapText="1"/>
    </xf>
    <xf numFmtId="203" fontId="86" fillId="96" borderId="54" xfId="904" applyNumberFormat="1" applyFont="1" applyFill="1" applyBorder="1" applyAlignment="1">
      <alignment vertical="center"/>
    </xf>
    <xf numFmtId="203" fontId="86" fillId="96" borderId="1" xfId="904" applyNumberFormat="1" applyFont="1" applyFill="1" applyBorder="1" applyAlignment="1">
      <alignment vertical="center"/>
    </xf>
    <xf numFmtId="165" fontId="87" fillId="0" borderId="42" xfId="0" applyNumberFormat="1" applyFont="1" applyBorder="1" applyAlignment="1">
      <alignment horizontal="right" vertical="center" wrapText="1"/>
    </xf>
    <xf numFmtId="165" fontId="86" fillId="0" borderId="42" xfId="0" applyNumberFormat="1" applyFont="1" applyBorder="1" applyAlignment="1">
      <alignment horizontal="right" vertical="center" wrapText="1"/>
    </xf>
    <xf numFmtId="165" fontId="86" fillId="0" borderId="43" xfId="0" applyNumberFormat="1" applyFont="1" applyBorder="1" applyAlignment="1">
      <alignment horizontal="right" vertical="center" wrapText="1"/>
    </xf>
    <xf numFmtId="165" fontId="86" fillId="96" borderId="42" xfId="0" applyNumberFormat="1" applyFont="1" applyFill="1" applyBorder="1" applyAlignment="1">
      <alignment horizontal="right" vertical="center" wrapText="1"/>
    </xf>
    <xf numFmtId="165" fontId="86" fillId="96" borderId="43" xfId="0" applyNumberFormat="1" applyFont="1" applyFill="1" applyBorder="1" applyAlignment="1">
      <alignment vertical="center" wrapText="1"/>
    </xf>
    <xf numFmtId="165" fontId="87" fillId="96" borderId="42" xfId="0" applyNumberFormat="1" applyFont="1" applyFill="1" applyBorder="1" applyAlignment="1">
      <alignment horizontal="right" vertical="center" wrapText="1"/>
    </xf>
    <xf numFmtId="165" fontId="87" fillId="96" borderId="43" xfId="0" applyNumberFormat="1" applyFont="1" applyFill="1" applyBorder="1" applyAlignment="1">
      <alignment horizontal="right" vertical="center" wrapText="1"/>
    </xf>
    <xf numFmtId="165" fontId="86" fillId="96" borderId="48" xfId="0" applyNumberFormat="1" applyFont="1" applyFill="1" applyBorder="1" applyAlignment="1">
      <alignment vertical="center" wrapText="1"/>
    </xf>
    <xf numFmtId="165" fontId="69" fillId="0" borderId="0" xfId="903" applyNumberFormat="1" applyFont="1"/>
    <xf numFmtId="49" fontId="92" fillId="94" borderId="28" xfId="836" applyNumberFormat="1" applyFont="1" applyFill="1" applyBorder="1" applyAlignment="1">
      <alignment horizontal="center"/>
    </xf>
    <xf numFmtId="49" fontId="92" fillId="94" borderId="30" xfId="836" applyNumberFormat="1" applyFont="1" applyFill="1" applyBorder="1" applyAlignment="1">
      <alignment horizontal="center"/>
    </xf>
    <xf numFmtId="0" fontId="80" fillId="0" borderId="64" xfId="0" applyFont="1" applyBorder="1" applyAlignment="1">
      <alignment horizontal="right" vertical="center"/>
    </xf>
    <xf numFmtId="0" fontId="80" fillId="0" borderId="64" xfId="0" applyFont="1" applyBorder="1" applyAlignment="1">
      <alignment horizontal="center" vertical="center"/>
    </xf>
    <xf numFmtId="165" fontId="77" fillId="0" borderId="0" xfId="1700" applyFont="1" applyAlignment="1">
      <alignment horizontal="right" vertical="center"/>
    </xf>
    <xf numFmtId="165" fontId="80" fillId="0" borderId="0" xfId="1700" applyFont="1" applyAlignment="1">
      <alignment horizontal="right" vertical="center"/>
    </xf>
    <xf numFmtId="165" fontId="92" fillId="99" borderId="0" xfId="1700" applyFont="1" applyFill="1"/>
    <xf numFmtId="165" fontId="70" fillId="99" borderId="0" xfId="1700" applyFont="1" applyFill="1"/>
    <xf numFmtId="0" fontId="91" fillId="96" borderId="25" xfId="0" applyFont="1" applyFill="1" applyBorder="1"/>
    <xf numFmtId="0" fontId="91" fillId="0" borderId="88" xfId="0" applyFont="1" applyBorder="1"/>
    <xf numFmtId="3" fontId="92" fillId="0" borderId="0" xfId="0" applyNumberFormat="1" applyFont="1"/>
    <xf numFmtId="3" fontId="91" fillId="0" borderId="0" xfId="0" applyNumberFormat="1" applyFont="1"/>
    <xf numFmtId="10" fontId="91" fillId="0" borderId="0" xfId="1699" applyNumberFormat="1" applyFont="1"/>
    <xf numFmtId="165" fontId="69" fillId="0" borderId="0" xfId="1700" applyFont="1"/>
    <xf numFmtId="202" fontId="88" fillId="0" borderId="0" xfId="903" applyNumberFormat="1" applyFont="1" applyAlignment="1">
      <alignment horizontal="center" vertical="center"/>
    </xf>
    <xf numFmtId="3" fontId="88" fillId="0" borderId="0" xfId="904" applyNumberFormat="1" applyFont="1" applyAlignment="1">
      <alignment horizontal="center" vertical="center"/>
    </xf>
    <xf numFmtId="202" fontId="88" fillId="0" borderId="0" xfId="904" applyNumberFormat="1" applyFont="1" applyAlignment="1">
      <alignment horizontal="center" vertical="center"/>
    </xf>
    <xf numFmtId="202" fontId="89" fillId="0" borderId="0" xfId="904" applyNumberFormat="1" applyFont="1" applyAlignment="1">
      <alignment vertical="center"/>
    </xf>
    <xf numFmtId="202" fontId="88" fillId="0" borderId="0" xfId="904" applyNumberFormat="1" applyFont="1" applyAlignment="1">
      <alignment vertical="center"/>
    </xf>
    <xf numFmtId="0" fontId="77" fillId="0" borderId="0" xfId="0" applyFont="1" applyAlignment="1">
      <alignment horizontal="right"/>
    </xf>
    <xf numFmtId="165" fontId="72" fillId="0" borderId="0" xfId="0" applyNumberFormat="1" applyFont="1" applyAlignment="1">
      <alignment vertical="center"/>
    </xf>
    <xf numFmtId="165" fontId="71" fillId="0" borderId="0" xfId="0" applyNumberFormat="1" applyFont="1" applyAlignment="1">
      <alignment vertical="center"/>
    </xf>
    <xf numFmtId="165" fontId="73" fillId="0" borderId="0" xfId="0" applyNumberFormat="1" applyFont="1"/>
    <xf numFmtId="201" fontId="70" fillId="0" borderId="0" xfId="0" applyNumberFormat="1" applyFont="1"/>
    <xf numFmtId="0" fontId="72" fillId="0" borderId="25" xfId="0" applyFont="1" applyBorder="1" applyAlignment="1">
      <alignment vertical="center"/>
    </xf>
    <xf numFmtId="0" fontId="72" fillId="0" borderId="25" xfId="0" applyFont="1" applyBorder="1" applyAlignment="1">
      <alignment horizontal="center" vertical="center"/>
    </xf>
    <xf numFmtId="203" fontId="71" fillId="0" borderId="25" xfId="0" applyNumberFormat="1" applyFont="1" applyBorder="1" applyAlignment="1">
      <alignment horizontal="right" vertical="center"/>
    </xf>
    <xf numFmtId="203" fontId="72" fillId="0" borderId="25" xfId="0" applyNumberFormat="1" applyFont="1" applyBorder="1" applyAlignment="1">
      <alignment horizontal="right" vertical="center"/>
    </xf>
    <xf numFmtId="165" fontId="71" fillId="0" borderId="0" xfId="1700" applyFont="1" applyAlignment="1">
      <alignment horizontal="right" vertical="center"/>
    </xf>
    <xf numFmtId="202" fontId="71" fillId="0" borderId="0" xfId="0" applyNumberFormat="1" applyFont="1" applyAlignment="1">
      <alignment horizontal="center" vertical="center"/>
    </xf>
    <xf numFmtId="3" fontId="105" fillId="0" borderId="0" xfId="903" applyNumberFormat="1" applyFont="1"/>
    <xf numFmtId="165" fontId="105" fillId="0" borderId="0" xfId="1700" applyFont="1" applyFill="1" applyBorder="1"/>
    <xf numFmtId="165" fontId="91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17" fontId="91" fillId="0" borderId="0" xfId="0" applyNumberFormat="1" applyFont="1" applyAlignment="1">
      <alignment horizontal="center"/>
    </xf>
    <xf numFmtId="165" fontId="92" fillId="0" borderId="0" xfId="0" applyNumberFormat="1" applyFont="1"/>
    <xf numFmtId="165" fontId="92" fillId="0" borderId="25" xfId="0" applyNumberFormat="1" applyFont="1" applyBorder="1"/>
    <xf numFmtId="165" fontId="91" fillId="0" borderId="0" xfId="0" applyNumberFormat="1" applyFont="1"/>
    <xf numFmtId="0" fontId="95" fillId="0" borderId="0" xfId="0" applyFont="1"/>
    <xf numFmtId="165" fontId="91" fillId="0" borderId="0" xfId="0" applyNumberFormat="1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17" fontId="91" fillId="0" borderId="0" xfId="0" applyNumberFormat="1" applyFont="1" applyAlignment="1">
      <alignment horizontal="center" vertical="center"/>
    </xf>
    <xf numFmtId="165" fontId="92" fillId="0" borderId="0" xfId="1700" applyFont="1"/>
    <xf numFmtId="0" fontId="86" fillId="99" borderId="0" xfId="0" applyFont="1" applyFill="1"/>
    <xf numFmtId="0" fontId="105" fillId="99" borderId="0" xfId="0" applyFont="1" applyFill="1" applyAlignment="1">
      <alignment horizontal="center"/>
    </xf>
    <xf numFmtId="165" fontId="106" fillId="99" borderId="0" xfId="1700" applyFont="1" applyFill="1"/>
    <xf numFmtId="203" fontId="107" fillId="73" borderId="66" xfId="904" applyNumberFormat="1" applyFont="1" applyFill="1" applyBorder="1" applyAlignment="1">
      <alignment horizontal="center" vertical="top"/>
    </xf>
    <xf numFmtId="203" fontId="107" fillId="73" borderId="56" xfId="904" applyNumberFormat="1" applyFont="1" applyFill="1" applyBorder="1" applyAlignment="1">
      <alignment horizontal="center" vertical="top"/>
    </xf>
    <xf numFmtId="0" fontId="71" fillId="0" borderId="64" xfId="0" applyFont="1" applyBorder="1" applyAlignment="1">
      <alignment horizontal="center" vertical="center"/>
    </xf>
    <xf numFmtId="188" fontId="73" fillId="0" borderId="0" xfId="0" applyNumberFormat="1" applyFont="1"/>
    <xf numFmtId="188" fontId="83" fillId="0" borderId="0" xfId="950" applyNumberFormat="1" applyFont="1" applyFill="1"/>
    <xf numFmtId="0" fontId="108" fillId="0" borderId="0" xfId="0" applyFont="1" applyAlignment="1">
      <alignment vertical="center" wrapText="1"/>
    </xf>
    <xf numFmtId="205" fontId="72" fillId="0" borderId="0" xfId="0" applyNumberFormat="1" applyFont="1"/>
    <xf numFmtId="14" fontId="91" fillId="73" borderId="90" xfId="904" applyNumberFormat="1" applyFont="1" applyFill="1" applyBorder="1" applyAlignment="1">
      <alignment horizontal="center" vertical="center"/>
    </xf>
    <xf numFmtId="188" fontId="92" fillId="0" borderId="0" xfId="836" applyNumberFormat="1" applyFont="1" applyBorder="1"/>
    <xf numFmtId="183" fontId="92" fillId="0" borderId="0" xfId="0" applyNumberFormat="1" applyFont="1"/>
    <xf numFmtId="0" fontId="73" fillId="101" borderId="0" xfId="0" applyFont="1" applyFill="1"/>
    <xf numFmtId="0" fontId="109" fillId="0" borderId="0" xfId="1705"/>
    <xf numFmtId="166" fontId="109" fillId="0" borderId="0" xfId="828" applyFont="1"/>
    <xf numFmtId="198" fontId="109" fillId="0" borderId="0" xfId="828" applyNumberFormat="1" applyFont="1"/>
    <xf numFmtId="0" fontId="78" fillId="0" borderId="0" xfId="0" applyFont="1" applyAlignment="1">
      <alignment vertical="center"/>
    </xf>
    <xf numFmtId="165" fontId="87" fillId="0" borderId="0" xfId="1700" applyFont="1"/>
    <xf numFmtId="206" fontId="92" fillId="0" borderId="0" xfId="0" applyNumberFormat="1" applyFont="1"/>
    <xf numFmtId="165" fontId="87" fillId="0" borderId="0" xfId="904" applyNumberFormat="1" applyFont="1"/>
    <xf numFmtId="165" fontId="87" fillId="0" borderId="0" xfId="0" applyNumberFormat="1" applyFont="1"/>
    <xf numFmtId="0" fontId="73" fillId="102" borderId="0" xfId="0" applyFont="1" applyFill="1"/>
    <xf numFmtId="0" fontId="72" fillId="102" borderId="0" xfId="0" applyFont="1" applyFill="1"/>
    <xf numFmtId="3" fontId="72" fillId="102" borderId="0" xfId="0" applyNumberFormat="1" applyFont="1" applyFill="1" applyAlignment="1">
      <alignment horizontal="right"/>
    </xf>
    <xf numFmtId="10" fontId="72" fillId="102" borderId="0" xfId="0" applyNumberFormat="1" applyFont="1" applyFill="1" applyAlignment="1">
      <alignment horizontal="right"/>
    </xf>
    <xf numFmtId="0" fontId="76" fillId="102" borderId="0" xfId="0" applyFont="1" applyFill="1"/>
    <xf numFmtId="0" fontId="80" fillId="102" borderId="64" xfId="0" applyFont="1" applyFill="1" applyBorder="1" applyAlignment="1">
      <alignment horizontal="center" vertical="center"/>
    </xf>
    <xf numFmtId="0" fontId="71" fillId="102" borderId="36" xfId="0" applyFont="1" applyFill="1" applyBorder="1" applyAlignment="1">
      <alignment horizontal="center" vertical="center"/>
    </xf>
    <xf numFmtId="0" fontId="80" fillId="102" borderId="0" xfId="0" applyFont="1" applyFill="1" applyAlignment="1">
      <alignment horizontal="center" vertical="center"/>
    </xf>
    <xf numFmtId="0" fontId="71" fillId="102" borderId="0" xfId="0" applyFont="1" applyFill="1" applyAlignment="1">
      <alignment horizontal="center" vertical="center"/>
    </xf>
    <xf numFmtId="0" fontId="72" fillId="102" borderId="0" xfId="0" applyFont="1" applyFill="1" applyAlignment="1">
      <alignment vertical="center"/>
    </xf>
    <xf numFmtId="3" fontId="77" fillId="102" borderId="0" xfId="0" applyNumberFormat="1" applyFont="1" applyFill="1" applyAlignment="1">
      <alignment horizontal="right" vertical="center"/>
    </xf>
    <xf numFmtId="0" fontId="71" fillId="102" borderId="0" xfId="0" applyFont="1" applyFill="1" applyAlignment="1">
      <alignment vertical="center"/>
    </xf>
    <xf numFmtId="3" fontId="80" fillId="102" borderId="0" xfId="0" applyNumberFormat="1" applyFont="1" applyFill="1" applyAlignment="1">
      <alignment horizontal="right" vertical="center"/>
    </xf>
    <xf numFmtId="0" fontId="73" fillId="102" borderId="0" xfId="0" applyFont="1" applyFill="1" applyAlignment="1">
      <alignment vertical="center"/>
    </xf>
    <xf numFmtId="165" fontId="69" fillId="102" borderId="0" xfId="1700" applyFont="1" applyFill="1" applyAlignment="1">
      <alignment vertical="center"/>
    </xf>
    <xf numFmtId="165" fontId="73" fillId="102" borderId="0" xfId="1700" applyFont="1" applyFill="1" applyAlignment="1">
      <alignment vertical="center"/>
    </xf>
    <xf numFmtId="0" fontId="80" fillId="102" borderId="0" xfId="0" applyFont="1" applyFill="1"/>
    <xf numFmtId="0" fontId="77" fillId="102" borderId="0" xfId="0" applyFont="1" applyFill="1" applyAlignment="1">
      <alignment vertical="center"/>
    </xf>
    <xf numFmtId="202" fontId="72" fillId="102" borderId="0" xfId="0" applyNumberFormat="1" applyFont="1" applyFill="1" applyAlignment="1">
      <alignment horizontal="right" vertical="center"/>
    </xf>
    <xf numFmtId="201" fontId="72" fillId="102" borderId="0" xfId="0" applyNumberFormat="1" applyFont="1" applyFill="1" applyAlignment="1">
      <alignment horizontal="right" vertical="center"/>
    </xf>
    <xf numFmtId="0" fontId="72" fillId="102" borderId="0" xfId="0" applyFont="1" applyFill="1" applyAlignment="1">
      <alignment horizontal="right" vertical="center"/>
    </xf>
    <xf numFmtId="0" fontId="78" fillId="102" borderId="0" xfId="0" applyFont="1" applyFill="1"/>
    <xf numFmtId="0" fontId="71" fillId="102" borderId="36" xfId="0" applyFont="1" applyFill="1" applyBorder="1" applyAlignment="1">
      <alignment vertical="center"/>
    </xf>
    <xf numFmtId="0" fontId="75" fillId="102" borderId="0" xfId="0" applyFont="1" applyFill="1" applyAlignment="1">
      <alignment horizontal="justify"/>
    </xf>
    <xf numFmtId="202" fontId="71" fillId="102" borderId="0" xfId="0" applyNumberFormat="1" applyFont="1" applyFill="1" applyAlignment="1">
      <alignment horizontal="right" vertical="center"/>
    </xf>
    <xf numFmtId="0" fontId="108" fillId="102" borderId="0" xfId="0" applyFont="1" applyFill="1" applyAlignment="1">
      <alignment vertical="center" wrapText="1"/>
    </xf>
    <xf numFmtId="0" fontId="110" fillId="0" borderId="0" xfId="0" applyFont="1" applyAlignment="1">
      <alignment horizontal="left" vertical="center"/>
    </xf>
    <xf numFmtId="0" fontId="110" fillId="0" borderId="0" xfId="0" applyFont="1" applyAlignment="1">
      <alignment horizontal="left"/>
    </xf>
    <xf numFmtId="0" fontId="71" fillId="102" borderId="36" xfId="0" applyFont="1" applyFill="1" applyBorder="1" applyAlignment="1">
      <alignment horizontal="left" vertical="center"/>
    </xf>
    <xf numFmtId="2" fontId="77" fillId="0" borderId="0" xfId="0" applyNumberFormat="1" applyFont="1" applyAlignment="1">
      <alignment horizontal="right" vertical="center"/>
    </xf>
    <xf numFmtId="3" fontId="111" fillId="0" borderId="0" xfId="0" applyNumberFormat="1" applyFont="1"/>
    <xf numFmtId="165" fontId="73" fillId="0" borderId="0" xfId="0" applyNumberFormat="1" applyFont="1" applyAlignment="1">
      <alignment vertical="center"/>
    </xf>
    <xf numFmtId="9" fontId="72" fillId="0" borderId="0" xfId="950" applyFont="1"/>
    <xf numFmtId="3" fontId="77" fillId="0" borderId="38" xfId="0" applyNumberFormat="1" applyFont="1" applyBorder="1" applyAlignment="1">
      <alignment horizontal="right" vertical="center"/>
    </xf>
    <xf numFmtId="10" fontId="77" fillId="0" borderId="0" xfId="0" applyNumberFormat="1" applyFont="1" applyAlignment="1">
      <alignment horizontal="right" vertical="center"/>
    </xf>
    <xf numFmtId="10" fontId="77" fillId="0" borderId="38" xfId="0" applyNumberFormat="1" applyFont="1" applyBorder="1" applyAlignment="1">
      <alignment horizontal="right" vertical="center"/>
    </xf>
    <xf numFmtId="0" fontId="77" fillId="0" borderId="0" xfId="0" applyFont="1" applyAlignment="1">
      <alignment horizontal="left" vertical="center" indent="2"/>
    </xf>
    <xf numFmtId="0" fontId="113" fillId="0" borderId="0" xfId="0" applyFont="1" applyAlignment="1">
      <alignment vertical="center"/>
    </xf>
    <xf numFmtId="203" fontId="116" fillId="0" borderId="0" xfId="904" applyNumberFormat="1" applyFont="1" applyAlignment="1">
      <alignment vertical="center"/>
    </xf>
    <xf numFmtId="0" fontId="119" fillId="0" borderId="0" xfId="0" applyFont="1" applyAlignment="1">
      <alignment vertical="center"/>
    </xf>
    <xf numFmtId="203" fontId="120" fillId="0" borderId="0" xfId="904" applyNumberFormat="1" applyFont="1" applyAlignment="1">
      <alignment vertical="center"/>
    </xf>
    <xf numFmtId="10" fontId="0" fillId="0" borderId="0" xfId="950" applyNumberFormat="1" applyFont="1"/>
    <xf numFmtId="0" fontId="80" fillId="0" borderId="0" xfId="0" applyFont="1" applyAlignment="1">
      <alignment horizontal="right" vertical="center"/>
    </xf>
    <xf numFmtId="0" fontId="122" fillId="0" borderId="0" xfId="0" applyFont="1" applyAlignment="1">
      <alignment horizontal="justify" vertical="center"/>
    </xf>
    <xf numFmtId="0" fontId="122" fillId="0" borderId="0" xfId="0" applyFont="1" applyAlignment="1">
      <alignment horizontal="center" vertical="center"/>
    </xf>
    <xf numFmtId="0" fontId="124" fillId="0" borderId="64" xfId="0" applyFont="1" applyBorder="1" applyAlignment="1">
      <alignment vertical="center"/>
    </xf>
    <xf numFmtId="188" fontId="117" fillId="0" borderId="0" xfId="0" applyNumberFormat="1" applyFont="1" applyAlignment="1">
      <alignment horizontal="right" vertical="center"/>
    </xf>
    <xf numFmtId="188" fontId="118" fillId="0" borderId="0" xfId="0" applyNumberFormat="1" applyFont="1" applyAlignment="1">
      <alignment horizontal="right" vertical="center"/>
    </xf>
    <xf numFmtId="188" fontId="116" fillId="0" borderId="0" xfId="904" applyNumberFormat="1" applyFont="1" applyAlignment="1">
      <alignment horizontal="right" vertical="center"/>
    </xf>
    <xf numFmtId="188" fontId="77" fillId="0" borderId="0" xfId="0" applyNumberFormat="1" applyFont="1" applyAlignment="1">
      <alignment horizontal="right" vertical="center"/>
    </xf>
    <xf numFmtId="0" fontId="125" fillId="0" borderId="0" xfId="0" applyFont="1" applyAlignment="1">
      <alignment horizontal="left" vertical="center"/>
    </xf>
    <xf numFmtId="188" fontId="87" fillId="0" borderId="0" xfId="950" applyNumberFormat="1" applyFont="1"/>
    <xf numFmtId="203" fontId="92" fillId="0" borderId="1" xfId="904" applyNumberFormat="1" applyFont="1" applyBorder="1" applyAlignment="1">
      <alignment vertical="center" wrapText="1"/>
    </xf>
    <xf numFmtId="203" fontId="92" fillId="0" borderId="1" xfId="904" applyNumberFormat="1" applyFont="1" applyBorder="1" applyAlignment="1">
      <alignment horizontal="center" vertical="center"/>
    </xf>
    <xf numFmtId="17" fontId="80" fillId="0" borderId="64" xfId="0" applyNumberFormat="1" applyFont="1" applyBorder="1" applyAlignment="1">
      <alignment horizontal="center" vertical="center"/>
    </xf>
    <xf numFmtId="17" fontId="71" fillId="102" borderId="36" xfId="0" applyNumberFormat="1" applyFont="1" applyFill="1" applyBorder="1" applyAlignment="1">
      <alignment horizontal="center" vertical="center"/>
    </xf>
    <xf numFmtId="14" fontId="71" fillId="0" borderId="36" xfId="0" applyNumberFormat="1" applyFont="1" applyBorder="1" applyAlignment="1">
      <alignment horizontal="center"/>
    </xf>
    <xf numFmtId="0" fontId="126" fillId="0" borderId="91" xfId="0" applyFont="1" applyBorder="1" applyAlignment="1">
      <alignment horizontal="left" vertical="center"/>
    </xf>
    <xf numFmtId="0" fontId="126" fillId="0" borderId="91" xfId="0" applyFont="1" applyBorder="1" applyAlignment="1">
      <alignment horizontal="center" vertical="center" wrapText="1"/>
    </xf>
    <xf numFmtId="0" fontId="108" fillId="0" borderId="0" xfId="0" applyFont="1"/>
    <xf numFmtId="0" fontId="126" fillId="0" borderId="0" xfId="0" applyFont="1" applyAlignment="1">
      <alignment horizontal="left" vertical="center"/>
    </xf>
    <xf numFmtId="0" fontId="127" fillId="0" borderId="0" xfId="0" applyFont="1" applyAlignment="1">
      <alignment horizontal="left" vertical="center"/>
    </xf>
    <xf numFmtId="3" fontId="127" fillId="0" borderId="0" xfId="0" applyNumberFormat="1" applyFont="1" applyAlignment="1">
      <alignment horizontal="right" vertical="center"/>
    </xf>
    <xf numFmtId="0" fontId="126" fillId="0" borderId="92" xfId="0" applyFont="1" applyBorder="1" applyAlignment="1">
      <alignment horizontal="left" vertical="center"/>
    </xf>
    <xf numFmtId="3" fontId="126" fillId="0" borderId="24" xfId="0" applyNumberFormat="1" applyFont="1" applyBorder="1" applyAlignment="1">
      <alignment horizontal="right" vertical="center"/>
    </xf>
    <xf numFmtId="3" fontId="126" fillId="0" borderId="93" xfId="0" applyNumberFormat="1" applyFont="1" applyBorder="1" applyAlignment="1">
      <alignment horizontal="right" vertical="center"/>
    </xf>
    <xf numFmtId="0" fontId="127" fillId="103" borderId="0" xfId="0" applyFont="1" applyFill="1" applyAlignment="1">
      <alignment horizontal="left" vertical="center"/>
    </xf>
    <xf numFmtId="3" fontId="128" fillId="103" borderId="0" xfId="0" applyNumberFormat="1" applyFont="1" applyFill="1" applyAlignment="1">
      <alignment horizontal="left" vertical="center"/>
    </xf>
    <xf numFmtId="3" fontId="128" fillId="0" borderId="0" xfId="0" applyNumberFormat="1" applyFont="1" applyAlignment="1">
      <alignment horizontal="right" vertical="center"/>
    </xf>
    <xf numFmtId="0" fontId="129" fillId="0" borderId="0" xfId="0" applyFont="1" applyAlignment="1">
      <alignment horizontal="right" vertical="center"/>
    </xf>
    <xf numFmtId="3" fontId="126" fillId="0" borderId="0" xfId="0" applyNumberFormat="1" applyFont="1" applyAlignment="1">
      <alignment horizontal="right" vertical="center"/>
    </xf>
    <xf numFmtId="0" fontId="108" fillId="0" borderId="0" xfId="0" applyFont="1" applyAlignment="1">
      <alignment vertical="center"/>
    </xf>
    <xf numFmtId="3" fontId="130" fillId="0" borderId="0" xfId="0" applyNumberFormat="1" applyFont="1" applyAlignment="1">
      <alignment horizontal="right" vertical="center"/>
    </xf>
    <xf numFmtId="0" fontId="80" fillId="0" borderId="0" xfId="0" applyFont="1" applyAlignment="1">
      <alignment horizontal="center" vertical="center"/>
    </xf>
    <xf numFmtId="0" fontId="77" fillId="0" borderId="0" xfId="0" applyFont="1" applyAlignment="1">
      <alignment vertical="center" wrapText="1"/>
    </xf>
    <xf numFmtId="0" fontId="80" fillId="0" borderId="0" xfId="0" applyFont="1" applyAlignment="1">
      <alignment vertical="center" wrapText="1"/>
    </xf>
    <xf numFmtId="10" fontId="80" fillId="0" borderId="0" xfId="0" applyNumberFormat="1" applyFont="1" applyAlignment="1">
      <alignment horizontal="right" vertical="center"/>
    </xf>
    <xf numFmtId="188" fontId="80" fillId="102" borderId="0" xfId="0" applyNumberFormat="1" applyFont="1" applyFill="1" applyAlignment="1">
      <alignment horizontal="right" vertical="center"/>
    </xf>
    <xf numFmtId="0" fontId="111" fillId="0" borderId="0" xfId="0" applyFont="1" applyAlignment="1">
      <alignment vertical="center"/>
    </xf>
    <xf numFmtId="3" fontId="77" fillId="0" borderId="0" xfId="0" applyNumberFormat="1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80" fillId="0" borderId="94" xfId="0" applyFont="1" applyBorder="1" applyAlignment="1">
      <alignment vertical="center"/>
    </xf>
    <xf numFmtId="0" fontId="80" fillId="0" borderId="94" xfId="0" applyFont="1" applyBorder="1" applyAlignment="1">
      <alignment horizontal="center" vertical="center"/>
    </xf>
    <xf numFmtId="0" fontId="80" fillId="0" borderId="94" xfId="0" applyFont="1" applyBorder="1" applyAlignment="1">
      <alignment horizontal="right" vertical="center"/>
    </xf>
    <xf numFmtId="3" fontId="3" fillId="0" borderId="0" xfId="0" applyNumberFormat="1" applyFont="1"/>
    <xf numFmtId="165" fontId="73" fillId="0" borderId="0" xfId="1698" applyNumberFormat="1" applyFont="1"/>
    <xf numFmtId="165" fontId="73" fillId="0" borderId="0" xfId="1698" applyNumberFormat="1" applyFont="1" applyAlignment="1">
      <alignment vertical="center"/>
    </xf>
    <xf numFmtId="201" fontId="71" fillId="101" borderId="0" xfId="0" applyNumberFormat="1" applyFont="1" applyFill="1" applyAlignment="1">
      <alignment horizontal="right" vertical="center"/>
    </xf>
    <xf numFmtId="201" fontId="72" fillId="101" borderId="0" xfId="0" applyNumberFormat="1" applyFont="1" applyFill="1" applyAlignment="1">
      <alignment horizontal="right" vertical="center"/>
    </xf>
    <xf numFmtId="3" fontId="0" fillId="0" borderId="0" xfId="0" applyNumberFormat="1"/>
    <xf numFmtId="165" fontId="89" fillId="0" borderId="0" xfId="1700" applyFont="1" applyAlignment="1">
      <alignment vertical="center"/>
    </xf>
    <xf numFmtId="0" fontId="71" fillId="0" borderId="64" xfId="0" applyFont="1" applyBorder="1" applyAlignment="1">
      <alignment horizontal="left"/>
    </xf>
    <xf numFmtId="0" fontId="71" fillId="0" borderId="64" xfId="0" applyFont="1" applyBorder="1" applyAlignment="1">
      <alignment horizontal="center"/>
    </xf>
    <xf numFmtId="10" fontId="73" fillId="0" borderId="0" xfId="0" applyNumberFormat="1" applyFont="1"/>
    <xf numFmtId="0" fontId="72" fillId="0" borderId="87" xfId="0" applyFont="1" applyBorder="1" applyAlignment="1">
      <alignment vertical="center"/>
    </xf>
    <xf numFmtId="0" fontId="72" fillId="0" borderId="64" xfId="0" applyFont="1" applyBorder="1" applyAlignment="1">
      <alignment horizontal="center" vertical="center"/>
    </xf>
    <xf numFmtId="203" fontId="71" fillId="0" borderId="64" xfId="0" applyNumberFormat="1" applyFont="1" applyBorder="1" applyAlignment="1">
      <alignment horizontal="right" vertical="center"/>
    </xf>
    <xf numFmtId="0" fontId="71" fillId="0" borderId="87" xfId="0" applyFont="1" applyBorder="1" applyAlignment="1">
      <alignment vertical="center"/>
    </xf>
    <xf numFmtId="0" fontId="82" fillId="101" borderId="0" xfId="0" applyFont="1" applyFill="1"/>
    <xf numFmtId="10" fontId="82" fillId="101" borderId="0" xfId="950" applyNumberFormat="1" applyFont="1" applyFill="1"/>
    <xf numFmtId="3" fontId="82" fillId="101" borderId="0" xfId="0" applyNumberFormat="1" applyFont="1" applyFill="1"/>
    <xf numFmtId="10" fontId="82" fillId="0" borderId="0" xfId="950" applyNumberFormat="1" applyFont="1" applyFill="1"/>
    <xf numFmtId="10" fontId="83" fillId="0" borderId="0" xfId="950" applyNumberFormat="1" applyFont="1" applyFill="1"/>
    <xf numFmtId="4" fontId="82" fillId="0" borderId="0" xfId="0" applyNumberFormat="1" applyFont="1"/>
    <xf numFmtId="10" fontId="71" fillId="0" borderId="0" xfId="950" applyNumberFormat="1" applyFont="1"/>
    <xf numFmtId="188" fontId="92" fillId="0" borderId="0" xfId="1699" applyNumberFormat="1" applyFont="1"/>
    <xf numFmtId="10" fontId="91" fillId="0" borderId="88" xfId="0" applyNumberFormat="1" applyFont="1" applyBorder="1"/>
    <xf numFmtId="3" fontId="77" fillId="0" borderId="87" xfId="0" applyNumberFormat="1" applyFont="1" applyBorder="1" applyAlignment="1">
      <alignment horizontal="right" vertical="center"/>
    </xf>
    <xf numFmtId="3" fontId="77" fillId="0" borderId="0" xfId="0" applyNumberFormat="1" applyFont="1" applyAlignment="1">
      <alignment horizontal="right" vertical="center"/>
    </xf>
    <xf numFmtId="3" fontId="77" fillId="0" borderId="38" xfId="0" applyNumberFormat="1" applyFont="1" applyBorder="1" applyAlignment="1">
      <alignment horizontal="right" vertical="center"/>
    </xf>
    <xf numFmtId="0" fontId="80" fillId="0" borderId="0" xfId="0" applyFont="1" applyAlignment="1">
      <alignment vertical="center"/>
    </xf>
    <xf numFmtId="0" fontId="80" fillId="0" borderId="64" xfId="0" applyFont="1" applyBorder="1" applyAlignment="1">
      <alignment horizontal="center" vertical="center"/>
    </xf>
    <xf numFmtId="0" fontId="80" fillId="0" borderId="87" xfId="0" applyFont="1" applyBorder="1" applyAlignment="1">
      <alignment horizontal="center" vertical="center"/>
    </xf>
    <xf numFmtId="0" fontId="80" fillId="0" borderId="37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80" fillId="102" borderId="87" xfId="0" applyFont="1" applyFill="1" applyBorder="1" applyAlignment="1">
      <alignment horizontal="center" vertical="center"/>
    </xf>
    <xf numFmtId="0" fontId="80" fillId="102" borderId="37" xfId="0" applyFont="1" applyFill="1" applyBorder="1" applyAlignment="1">
      <alignment horizontal="center" vertical="center"/>
    </xf>
    <xf numFmtId="0" fontId="71" fillId="102" borderId="39" xfId="0" applyFont="1" applyFill="1" applyBorder="1" applyAlignment="1">
      <alignment horizontal="center" vertical="center"/>
    </xf>
    <xf numFmtId="0" fontId="71" fillId="102" borderId="37" xfId="0" applyFont="1" applyFill="1" applyBorder="1" applyAlignment="1">
      <alignment horizontal="center" vertical="center"/>
    </xf>
    <xf numFmtId="0" fontId="84" fillId="0" borderId="0" xfId="0" applyFont="1" applyAlignment="1">
      <alignment horizontal="right" vertical="center"/>
    </xf>
    <xf numFmtId="203" fontId="86" fillId="73" borderId="52" xfId="904" applyNumberFormat="1" applyFont="1" applyFill="1" applyBorder="1" applyAlignment="1">
      <alignment horizontal="left" vertical="center"/>
    </xf>
    <xf numFmtId="203" fontId="86" fillId="73" borderId="54" xfId="904" applyNumberFormat="1" applyFont="1" applyFill="1" applyBorder="1" applyAlignment="1">
      <alignment horizontal="left" vertical="center"/>
    </xf>
    <xf numFmtId="203" fontId="86" fillId="73" borderId="49" xfId="904" applyNumberFormat="1" applyFont="1" applyFill="1" applyBorder="1" applyAlignment="1">
      <alignment horizontal="center" vertical="center"/>
    </xf>
    <xf numFmtId="203" fontId="86" fillId="73" borderId="55" xfId="904" applyNumberFormat="1" applyFont="1" applyFill="1" applyBorder="1" applyAlignment="1">
      <alignment horizontal="center" vertical="center"/>
    </xf>
    <xf numFmtId="165" fontId="88" fillId="100" borderId="85" xfId="904" applyNumberFormat="1" applyFont="1" applyFill="1" applyBorder="1" applyAlignment="1">
      <alignment horizontal="center" vertical="center"/>
    </xf>
    <xf numFmtId="165" fontId="88" fillId="100" borderId="86" xfId="904" applyNumberFormat="1" applyFont="1" applyFill="1" applyBorder="1" applyAlignment="1">
      <alignment horizontal="center" vertical="center"/>
    </xf>
    <xf numFmtId="203" fontId="86" fillId="73" borderId="60" xfId="904" applyNumberFormat="1" applyFont="1" applyFill="1" applyBorder="1" applyAlignment="1">
      <alignment horizontal="left" vertical="center"/>
    </xf>
    <xf numFmtId="203" fontId="86" fillId="73" borderId="61" xfId="904" applyNumberFormat="1" applyFont="1" applyFill="1" applyBorder="1" applyAlignment="1">
      <alignment horizontal="left" vertical="center"/>
    </xf>
    <xf numFmtId="203" fontId="86" fillId="73" borderId="53" xfId="904" applyNumberFormat="1" applyFont="1" applyFill="1" applyBorder="1" applyAlignment="1">
      <alignment horizontal="center" vertical="center"/>
    </xf>
    <xf numFmtId="203" fontId="86" fillId="73" borderId="1" xfId="904" applyNumberFormat="1" applyFont="1" applyFill="1" applyBorder="1" applyAlignment="1">
      <alignment horizontal="center" vertical="center"/>
    </xf>
    <xf numFmtId="3" fontId="88" fillId="100" borderId="81" xfId="904" applyNumberFormat="1" applyFont="1" applyFill="1" applyBorder="1" applyAlignment="1">
      <alignment horizontal="center" vertical="center"/>
    </xf>
    <xf numFmtId="3" fontId="88" fillId="100" borderId="82" xfId="904" applyNumberFormat="1" applyFont="1" applyFill="1" applyBorder="1" applyAlignment="1">
      <alignment horizontal="center" vertical="center"/>
    </xf>
    <xf numFmtId="165" fontId="86" fillId="0" borderId="89" xfId="903" applyNumberFormat="1" applyFont="1" applyBorder="1" applyAlignment="1">
      <alignment horizontal="center"/>
    </xf>
    <xf numFmtId="0" fontId="86" fillId="97" borderId="70" xfId="0" applyFont="1" applyFill="1" applyBorder="1" applyAlignment="1">
      <alignment horizontal="left" vertical="center"/>
    </xf>
    <xf numFmtId="0" fontId="86" fillId="97" borderId="67" xfId="0" applyFont="1" applyFill="1" applyBorder="1" applyAlignment="1">
      <alignment horizontal="left" vertical="center"/>
    </xf>
    <xf numFmtId="0" fontId="86" fillId="97" borderId="68" xfId="0" applyFont="1" applyFill="1" applyBorder="1" applyAlignment="1">
      <alignment horizontal="center" vertical="center"/>
    </xf>
    <xf numFmtId="0" fontId="86" fillId="97" borderId="69" xfId="0" applyFont="1" applyFill="1" applyBorder="1" applyAlignment="1">
      <alignment horizontal="center" vertical="center"/>
    </xf>
  </cellXfs>
  <cellStyles count="1706">
    <cellStyle name="0,0_x000d__x000a_NA_x000d__x000a_" xfId="1" xr:uid="{00000000-0005-0000-0000-000000000000}"/>
    <cellStyle name="0,0_x000d__x000a_NA_x000d__x000a_ 2" xfId="2" xr:uid="{00000000-0005-0000-0000-000001000000}"/>
    <cellStyle name="0,0_x000d__x000a_NA_x000d__x000a_ 2 2" xfId="3" xr:uid="{00000000-0005-0000-0000-000002000000}"/>
    <cellStyle name="0,0_x000d__x000a_NA_x000d__x000a_ 3" xfId="4" xr:uid="{00000000-0005-0000-0000-000003000000}"/>
    <cellStyle name="20% - Accent1" xfId="5" xr:uid="{00000000-0005-0000-0000-000004000000}"/>
    <cellStyle name="20% - Accent2" xfId="6" xr:uid="{00000000-0005-0000-0000-000005000000}"/>
    <cellStyle name="20% - Accent3" xfId="7" xr:uid="{00000000-0005-0000-0000-000006000000}"/>
    <cellStyle name="20% - Accent4" xfId="8" xr:uid="{00000000-0005-0000-0000-000007000000}"/>
    <cellStyle name="20% - Accent5" xfId="9" xr:uid="{00000000-0005-0000-0000-000008000000}"/>
    <cellStyle name="20% - Accent6" xfId="10" xr:uid="{00000000-0005-0000-0000-000009000000}"/>
    <cellStyle name="20% - akcent 1" xfId="11" xr:uid="{00000000-0005-0000-0000-00000A000000}"/>
    <cellStyle name="20% - akcent 2" xfId="12" xr:uid="{00000000-0005-0000-0000-00000B000000}"/>
    <cellStyle name="20% - akcent 3" xfId="13" xr:uid="{00000000-0005-0000-0000-00000C000000}"/>
    <cellStyle name="20% - akcent 4" xfId="14" xr:uid="{00000000-0005-0000-0000-00000D000000}"/>
    <cellStyle name="20% - akcent 5" xfId="15" xr:uid="{00000000-0005-0000-0000-00000E000000}"/>
    <cellStyle name="20% - akcent 6" xfId="16" xr:uid="{00000000-0005-0000-0000-00000F000000}"/>
    <cellStyle name="20% - Énfasis1" xfId="17" builtinId="30" customBuiltin="1"/>
    <cellStyle name="20% - Énfasis1 2" xfId="18" xr:uid="{00000000-0005-0000-0000-000011000000}"/>
    <cellStyle name="20% - Énfasis1 2 2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3" xfId="23" builtinId="38" customBuiltin="1"/>
    <cellStyle name="20% - Énfasis3 2" xfId="24" xr:uid="{00000000-0005-0000-0000-000017000000}"/>
    <cellStyle name="20% - Énfasis3 2 2" xfId="25" xr:uid="{00000000-0005-0000-0000-000018000000}"/>
    <cellStyle name="20% - Énfasis4" xfId="26" builtinId="42" customBuiltin="1"/>
    <cellStyle name="20% - Énfasis4 2" xfId="27" xr:uid="{00000000-0005-0000-0000-00001A000000}"/>
    <cellStyle name="20% - Énfasis4 2 2" xfId="28" xr:uid="{00000000-0005-0000-0000-00001B000000}"/>
    <cellStyle name="20% - Énfasis5" xfId="29" builtinId="46" customBuiltin="1"/>
    <cellStyle name="20% - Énfasis5 2" xfId="30" xr:uid="{00000000-0005-0000-0000-00001D000000}"/>
    <cellStyle name="20% - Énfasis5 2 2" xfId="31" xr:uid="{00000000-0005-0000-0000-00001E000000}"/>
    <cellStyle name="20% - Énfasis6" xfId="32" builtinId="50" customBuiltin="1"/>
    <cellStyle name="20% - Énfasis6 2" xfId="33" xr:uid="{00000000-0005-0000-0000-000020000000}"/>
    <cellStyle name="20% - Énfasis6 2 2" xfId="34" xr:uid="{00000000-0005-0000-0000-000021000000}"/>
    <cellStyle name="40% - Accent1" xfId="35" xr:uid="{00000000-0005-0000-0000-000022000000}"/>
    <cellStyle name="40% - Accent2" xfId="36" xr:uid="{00000000-0005-0000-0000-000023000000}"/>
    <cellStyle name="40% - Accent3" xfId="37" xr:uid="{00000000-0005-0000-0000-000024000000}"/>
    <cellStyle name="40% - Accent4" xfId="38" xr:uid="{00000000-0005-0000-0000-000025000000}"/>
    <cellStyle name="40% - Accent5" xfId="39" xr:uid="{00000000-0005-0000-0000-000026000000}"/>
    <cellStyle name="40% - Accent6" xfId="40" xr:uid="{00000000-0005-0000-0000-000027000000}"/>
    <cellStyle name="40% - akcent 1" xfId="41" xr:uid="{00000000-0005-0000-0000-000028000000}"/>
    <cellStyle name="40% - akcent 2" xfId="42" xr:uid="{00000000-0005-0000-0000-000029000000}"/>
    <cellStyle name="40% - akcent 3" xfId="43" xr:uid="{00000000-0005-0000-0000-00002A000000}"/>
    <cellStyle name="40% - akcent 4" xfId="44" xr:uid="{00000000-0005-0000-0000-00002B000000}"/>
    <cellStyle name="40% - akcent 5" xfId="45" xr:uid="{00000000-0005-0000-0000-00002C000000}"/>
    <cellStyle name="40% - akcent 6" xfId="46" xr:uid="{00000000-0005-0000-0000-00002D000000}"/>
    <cellStyle name="40% - Énfasis1" xfId="47" builtinId="31" customBuiltin="1"/>
    <cellStyle name="40% - Énfasis1 2" xfId="48" xr:uid="{00000000-0005-0000-0000-00002F000000}"/>
    <cellStyle name="40% - Énfasis1 2 2" xfId="49" xr:uid="{00000000-0005-0000-0000-000030000000}"/>
    <cellStyle name="40% - Énfasis2" xfId="50" builtinId="35" customBuiltin="1"/>
    <cellStyle name="40% - Énfasis2 2" xfId="51" xr:uid="{00000000-0005-0000-0000-000032000000}"/>
    <cellStyle name="40% - Énfasis2 2 2" xfId="52" xr:uid="{00000000-0005-0000-0000-000033000000}"/>
    <cellStyle name="40% - Énfasis3" xfId="53" builtinId="39" customBuiltin="1"/>
    <cellStyle name="40% - Énfasis3 2" xfId="54" xr:uid="{00000000-0005-0000-0000-000035000000}"/>
    <cellStyle name="40% - Énfasis3 2 2" xfId="55" xr:uid="{00000000-0005-0000-0000-000036000000}"/>
    <cellStyle name="40% - Énfasis4" xfId="56" builtinId="43" customBuiltin="1"/>
    <cellStyle name="40% - Énfasis4 2" xfId="57" xr:uid="{00000000-0005-0000-0000-000038000000}"/>
    <cellStyle name="40% - Énfasis4 2 2" xfId="58" xr:uid="{00000000-0005-0000-0000-000039000000}"/>
    <cellStyle name="40% - Énfasis5" xfId="59" builtinId="47" customBuiltin="1"/>
    <cellStyle name="40% - Énfasis5 2" xfId="60" xr:uid="{00000000-0005-0000-0000-00003B000000}"/>
    <cellStyle name="40% - Énfasis5 2 2" xfId="61" xr:uid="{00000000-0005-0000-0000-00003C000000}"/>
    <cellStyle name="40% - Énfasis6" xfId="62" builtinId="51" customBuiltin="1"/>
    <cellStyle name="40% - Énfasis6 2" xfId="63" xr:uid="{00000000-0005-0000-0000-00003E000000}"/>
    <cellStyle name="40% - Énfasis6 2 2" xfId="64" xr:uid="{00000000-0005-0000-0000-00003F000000}"/>
    <cellStyle name="60% - Accent1" xfId="65" xr:uid="{00000000-0005-0000-0000-000040000000}"/>
    <cellStyle name="60% - Accent2" xfId="66" xr:uid="{00000000-0005-0000-0000-000041000000}"/>
    <cellStyle name="60% - Accent3" xfId="67" xr:uid="{00000000-0005-0000-0000-000042000000}"/>
    <cellStyle name="60% - Accent4" xfId="68" xr:uid="{00000000-0005-0000-0000-000043000000}"/>
    <cellStyle name="60% - Accent5" xfId="69" xr:uid="{00000000-0005-0000-0000-000044000000}"/>
    <cellStyle name="60% - Accent6" xfId="70" xr:uid="{00000000-0005-0000-0000-000045000000}"/>
    <cellStyle name="60% - akcent 1" xfId="71" xr:uid="{00000000-0005-0000-0000-000046000000}"/>
    <cellStyle name="60% - akcent 2" xfId="72" xr:uid="{00000000-0005-0000-0000-000047000000}"/>
    <cellStyle name="60% - akcent 3" xfId="73" xr:uid="{00000000-0005-0000-0000-000048000000}"/>
    <cellStyle name="60% - akcent 4" xfId="74" xr:uid="{00000000-0005-0000-0000-000049000000}"/>
    <cellStyle name="60% - akcent 5" xfId="75" xr:uid="{00000000-0005-0000-0000-00004A000000}"/>
    <cellStyle name="60% - akcent 6" xfId="76" xr:uid="{00000000-0005-0000-0000-00004B000000}"/>
    <cellStyle name="60% - Énfasis1" xfId="77" builtinId="32" customBuiltin="1"/>
    <cellStyle name="60% - Énfasis1 2 2" xfId="78" xr:uid="{00000000-0005-0000-0000-00004D000000}"/>
    <cellStyle name="60% - Énfasis2" xfId="79" builtinId="36" customBuiltin="1"/>
    <cellStyle name="60% - Énfasis2 2 2" xfId="80" xr:uid="{00000000-0005-0000-0000-00004F000000}"/>
    <cellStyle name="60% - Énfasis3" xfId="81" builtinId="40" customBuiltin="1"/>
    <cellStyle name="60% - Énfasis3 2 2" xfId="82" xr:uid="{00000000-0005-0000-0000-000051000000}"/>
    <cellStyle name="60% - Énfasis4" xfId="83" builtinId="44" customBuiltin="1"/>
    <cellStyle name="60% - Énfasis4 2 2" xfId="84" xr:uid="{00000000-0005-0000-0000-000053000000}"/>
    <cellStyle name="60% - Énfasis5" xfId="85" builtinId="48" customBuiltin="1"/>
    <cellStyle name="60% - Énfasis5 2 2" xfId="86" xr:uid="{00000000-0005-0000-0000-000055000000}"/>
    <cellStyle name="60% - Énfasis6" xfId="87" builtinId="52" customBuiltin="1"/>
    <cellStyle name="60% - Énfasis6 2 2" xfId="88" xr:uid="{00000000-0005-0000-0000-000057000000}"/>
    <cellStyle name="Accent1" xfId="89" xr:uid="{00000000-0005-0000-0000-000058000000}"/>
    <cellStyle name="Accent1 - 20%" xfId="90" xr:uid="{00000000-0005-0000-0000-000059000000}"/>
    <cellStyle name="Accent1 - 20% 10" xfId="91" xr:uid="{00000000-0005-0000-0000-00005A000000}"/>
    <cellStyle name="Accent1 - 20% 11" xfId="92" xr:uid="{00000000-0005-0000-0000-00005B000000}"/>
    <cellStyle name="Accent1 - 20% 12" xfId="93" xr:uid="{00000000-0005-0000-0000-00005C000000}"/>
    <cellStyle name="Accent1 - 20% 13" xfId="94" xr:uid="{00000000-0005-0000-0000-00005D000000}"/>
    <cellStyle name="Accent1 - 20% 2" xfId="95" xr:uid="{00000000-0005-0000-0000-00005E000000}"/>
    <cellStyle name="Accent1 - 20% 2 2" xfId="96" xr:uid="{00000000-0005-0000-0000-00005F000000}"/>
    <cellStyle name="Accent1 - 20% 2 2 2" xfId="97" xr:uid="{00000000-0005-0000-0000-000060000000}"/>
    <cellStyle name="Accent1 - 20% 3" xfId="98" xr:uid="{00000000-0005-0000-0000-000061000000}"/>
    <cellStyle name="Accent1 - 20% 3 2" xfId="99" xr:uid="{00000000-0005-0000-0000-000062000000}"/>
    <cellStyle name="Accent1 - 20% 4" xfId="100" xr:uid="{00000000-0005-0000-0000-000063000000}"/>
    <cellStyle name="Accent1 - 20% 4 2" xfId="101" xr:uid="{00000000-0005-0000-0000-000064000000}"/>
    <cellStyle name="Accent1 - 20% 5" xfId="102" xr:uid="{00000000-0005-0000-0000-000065000000}"/>
    <cellStyle name="Accent1 - 20% 5 2" xfId="103" xr:uid="{00000000-0005-0000-0000-000066000000}"/>
    <cellStyle name="Accent1 - 20% 6" xfId="104" xr:uid="{00000000-0005-0000-0000-000067000000}"/>
    <cellStyle name="Accent1 - 20% 6 2" xfId="105" xr:uid="{00000000-0005-0000-0000-000068000000}"/>
    <cellStyle name="Accent1 - 20% 7" xfId="106" xr:uid="{00000000-0005-0000-0000-000069000000}"/>
    <cellStyle name="Accent1 - 20% 8" xfId="107" xr:uid="{00000000-0005-0000-0000-00006A000000}"/>
    <cellStyle name="Accent1 - 20% 9" xfId="108" xr:uid="{00000000-0005-0000-0000-00006B000000}"/>
    <cellStyle name="Accent1 - 20%_Combinación de negocios - AA-IAMv3" xfId="109" xr:uid="{00000000-0005-0000-0000-00006C000000}"/>
    <cellStyle name="Accent1 - 40%" xfId="110" xr:uid="{00000000-0005-0000-0000-00006D000000}"/>
    <cellStyle name="Accent1 - 40% 10" xfId="111" xr:uid="{00000000-0005-0000-0000-00006E000000}"/>
    <cellStyle name="Accent1 - 40% 11" xfId="112" xr:uid="{00000000-0005-0000-0000-00006F000000}"/>
    <cellStyle name="Accent1 - 40% 12" xfId="113" xr:uid="{00000000-0005-0000-0000-000070000000}"/>
    <cellStyle name="Accent1 - 40% 13" xfId="114" xr:uid="{00000000-0005-0000-0000-000071000000}"/>
    <cellStyle name="Accent1 - 40% 2" xfId="115" xr:uid="{00000000-0005-0000-0000-000072000000}"/>
    <cellStyle name="Accent1 - 40% 2 2" xfId="116" xr:uid="{00000000-0005-0000-0000-000073000000}"/>
    <cellStyle name="Accent1 - 40% 2 2 2" xfId="117" xr:uid="{00000000-0005-0000-0000-000074000000}"/>
    <cellStyle name="Accent1 - 40% 3" xfId="118" xr:uid="{00000000-0005-0000-0000-000075000000}"/>
    <cellStyle name="Accent1 - 40% 3 2" xfId="119" xr:uid="{00000000-0005-0000-0000-000076000000}"/>
    <cellStyle name="Accent1 - 40% 4" xfId="120" xr:uid="{00000000-0005-0000-0000-000077000000}"/>
    <cellStyle name="Accent1 - 40% 4 2" xfId="121" xr:uid="{00000000-0005-0000-0000-000078000000}"/>
    <cellStyle name="Accent1 - 40% 5" xfId="122" xr:uid="{00000000-0005-0000-0000-000079000000}"/>
    <cellStyle name="Accent1 - 40% 5 2" xfId="123" xr:uid="{00000000-0005-0000-0000-00007A000000}"/>
    <cellStyle name="Accent1 - 40% 6" xfId="124" xr:uid="{00000000-0005-0000-0000-00007B000000}"/>
    <cellStyle name="Accent1 - 40% 6 2" xfId="125" xr:uid="{00000000-0005-0000-0000-00007C000000}"/>
    <cellStyle name="Accent1 - 40% 7" xfId="126" xr:uid="{00000000-0005-0000-0000-00007D000000}"/>
    <cellStyle name="Accent1 - 40% 8" xfId="127" xr:uid="{00000000-0005-0000-0000-00007E000000}"/>
    <cellStyle name="Accent1 - 40% 9" xfId="128" xr:uid="{00000000-0005-0000-0000-00007F000000}"/>
    <cellStyle name="Accent1 - 40%_Combinación de negocios - AA-IAMv3" xfId="129" xr:uid="{00000000-0005-0000-0000-000080000000}"/>
    <cellStyle name="Accent1 - 60%" xfId="130" xr:uid="{00000000-0005-0000-0000-000081000000}"/>
    <cellStyle name="Accent1 - 60% 10" xfId="131" xr:uid="{00000000-0005-0000-0000-000082000000}"/>
    <cellStyle name="Accent1 - 60% 11" xfId="132" xr:uid="{00000000-0005-0000-0000-000083000000}"/>
    <cellStyle name="Accent1 - 60% 2" xfId="133" xr:uid="{00000000-0005-0000-0000-000084000000}"/>
    <cellStyle name="Accent1 - 60% 2 2" xfId="134" xr:uid="{00000000-0005-0000-0000-000085000000}"/>
    <cellStyle name="Accent1 - 60% 2 2 2" xfId="135" xr:uid="{00000000-0005-0000-0000-000086000000}"/>
    <cellStyle name="Accent1 - 60% 3" xfId="136" xr:uid="{00000000-0005-0000-0000-000087000000}"/>
    <cellStyle name="Accent1 - 60% 4" xfId="137" xr:uid="{00000000-0005-0000-0000-000088000000}"/>
    <cellStyle name="Accent1 - 60% 5" xfId="138" xr:uid="{00000000-0005-0000-0000-000089000000}"/>
    <cellStyle name="Accent1 - 60% 6" xfId="139" xr:uid="{00000000-0005-0000-0000-00008A000000}"/>
    <cellStyle name="Accent1 - 60% 7" xfId="140" xr:uid="{00000000-0005-0000-0000-00008B000000}"/>
    <cellStyle name="Accent1 - 60% 8" xfId="141" xr:uid="{00000000-0005-0000-0000-00008C000000}"/>
    <cellStyle name="Accent1 - 60% 9" xfId="142" xr:uid="{00000000-0005-0000-0000-00008D000000}"/>
    <cellStyle name="Accent2" xfId="143" xr:uid="{00000000-0005-0000-0000-00008E000000}"/>
    <cellStyle name="Accent2 - 20%" xfId="144" xr:uid="{00000000-0005-0000-0000-00008F000000}"/>
    <cellStyle name="Accent2 - 20% 10" xfId="145" xr:uid="{00000000-0005-0000-0000-000090000000}"/>
    <cellStyle name="Accent2 - 20% 11" xfId="146" xr:uid="{00000000-0005-0000-0000-000091000000}"/>
    <cellStyle name="Accent2 - 20% 12" xfId="147" xr:uid="{00000000-0005-0000-0000-000092000000}"/>
    <cellStyle name="Accent2 - 20% 13" xfId="148" xr:uid="{00000000-0005-0000-0000-000093000000}"/>
    <cellStyle name="Accent2 - 20% 2" xfId="149" xr:uid="{00000000-0005-0000-0000-000094000000}"/>
    <cellStyle name="Accent2 - 20% 2 2" xfId="150" xr:uid="{00000000-0005-0000-0000-000095000000}"/>
    <cellStyle name="Accent2 - 20% 2 2 2" xfId="151" xr:uid="{00000000-0005-0000-0000-000096000000}"/>
    <cellStyle name="Accent2 - 20% 3" xfId="152" xr:uid="{00000000-0005-0000-0000-000097000000}"/>
    <cellStyle name="Accent2 - 20% 3 2" xfId="153" xr:uid="{00000000-0005-0000-0000-000098000000}"/>
    <cellStyle name="Accent2 - 20% 4" xfId="154" xr:uid="{00000000-0005-0000-0000-000099000000}"/>
    <cellStyle name="Accent2 - 20% 4 2" xfId="155" xr:uid="{00000000-0005-0000-0000-00009A000000}"/>
    <cellStyle name="Accent2 - 20% 5" xfId="156" xr:uid="{00000000-0005-0000-0000-00009B000000}"/>
    <cellStyle name="Accent2 - 20% 5 2" xfId="157" xr:uid="{00000000-0005-0000-0000-00009C000000}"/>
    <cellStyle name="Accent2 - 20% 6" xfId="158" xr:uid="{00000000-0005-0000-0000-00009D000000}"/>
    <cellStyle name="Accent2 - 20% 6 2" xfId="159" xr:uid="{00000000-0005-0000-0000-00009E000000}"/>
    <cellStyle name="Accent2 - 20% 7" xfId="160" xr:uid="{00000000-0005-0000-0000-00009F000000}"/>
    <cellStyle name="Accent2 - 20% 8" xfId="161" xr:uid="{00000000-0005-0000-0000-0000A0000000}"/>
    <cellStyle name="Accent2 - 20% 9" xfId="162" xr:uid="{00000000-0005-0000-0000-0000A1000000}"/>
    <cellStyle name="Accent2 - 20%_Combinación de negocios - AA-IAMv3" xfId="163" xr:uid="{00000000-0005-0000-0000-0000A2000000}"/>
    <cellStyle name="Accent2 - 40%" xfId="164" xr:uid="{00000000-0005-0000-0000-0000A3000000}"/>
    <cellStyle name="Accent2 - 40% 10" xfId="165" xr:uid="{00000000-0005-0000-0000-0000A4000000}"/>
    <cellStyle name="Accent2 - 40% 11" xfId="166" xr:uid="{00000000-0005-0000-0000-0000A5000000}"/>
    <cellStyle name="Accent2 - 40% 12" xfId="167" xr:uid="{00000000-0005-0000-0000-0000A6000000}"/>
    <cellStyle name="Accent2 - 40% 13" xfId="168" xr:uid="{00000000-0005-0000-0000-0000A7000000}"/>
    <cellStyle name="Accent2 - 40% 2" xfId="169" xr:uid="{00000000-0005-0000-0000-0000A8000000}"/>
    <cellStyle name="Accent2 - 40% 2 2" xfId="170" xr:uid="{00000000-0005-0000-0000-0000A9000000}"/>
    <cellStyle name="Accent2 - 40% 2 2 2" xfId="171" xr:uid="{00000000-0005-0000-0000-0000AA000000}"/>
    <cellStyle name="Accent2 - 40% 3" xfId="172" xr:uid="{00000000-0005-0000-0000-0000AB000000}"/>
    <cellStyle name="Accent2 - 40% 3 2" xfId="173" xr:uid="{00000000-0005-0000-0000-0000AC000000}"/>
    <cellStyle name="Accent2 - 40% 4" xfId="174" xr:uid="{00000000-0005-0000-0000-0000AD000000}"/>
    <cellStyle name="Accent2 - 40% 4 2" xfId="175" xr:uid="{00000000-0005-0000-0000-0000AE000000}"/>
    <cellStyle name="Accent2 - 40% 5" xfId="176" xr:uid="{00000000-0005-0000-0000-0000AF000000}"/>
    <cellStyle name="Accent2 - 40% 5 2" xfId="177" xr:uid="{00000000-0005-0000-0000-0000B0000000}"/>
    <cellStyle name="Accent2 - 40% 6" xfId="178" xr:uid="{00000000-0005-0000-0000-0000B1000000}"/>
    <cellStyle name="Accent2 - 40% 6 2" xfId="179" xr:uid="{00000000-0005-0000-0000-0000B2000000}"/>
    <cellStyle name="Accent2 - 40% 7" xfId="180" xr:uid="{00000000-0005-0000-0000-0000B3000000}"/>
    <cellStyle name="Accent2 - 40% 8" xfId="181" xr:uid="{00000000-0005-0000-0000-0000B4000000}"/>
    <cellStyle name="Accent2 - 40% 9" xfId="182" xr:uid="{00000000-0005-0000-0000-0000B5000000}"/>
    <cellStyle name="Accent2 - 40%_Combinación de negocios - AA-IAMv3" xfId="183" xr:uid="{00000000-0005-0000-0000-0000B6000000}"/>
    <cellStyle name="Accent2 - 60%" xfId="184" xr:uid="{00000000-0005-0000-0000-0000B7000000}"/>
    <cellStyle name="Accent2 - 60% 10" xfId="185" xr:uid="{00000000-0005-0000-0000-0000B8000000}"/>
    <cellStyle name="Accent2 - 60% 11" xfId="186" xr:uid="{00000000-0005-0000-0000-0000B9000000}"/>
    <cellStyle name="Accent2 - 60% 2" xfId="187" xr:uid="{00000000-0005-0000-0000-0000BA000000}"/>
    <cellStyle name="Accent2 - 60% 2 2" xfId="188" xr:uid="{00000000-0005-0000-0000-0000BB000000}"/>
    <cellStyle name="Accent2 - 60% 2 2 2" xfId="189" xr:uid="{00000000-0005-0000-0000-0000BC000000}"/>
    <cellStyle name="Accent2 - 60% 3" xfId="190" xr:uid="{00000000-0005-0000-0000-0000BD000000}"/>
    <cellStyle name="Accent2 - 60% 4" xfId="191" xr:uid="{00000000-0005-0000-0000-0000BE000000}"/>
    <cellStyle name="Accent2 - 60% 5" xfId="192" xr:uid="{00000000-0005-0000-0000-0000BF000000}"/>
    <cellStyle name="Accent2 - 60% 6" xfId="193" xr:uid="{00000000-0005-0000-0000-0000C0000000}"/>
    <cellStyle name="Accent2 - 60% 7" xfId="194" xr:uid="{00000000-0005-0000-0000-0000C1000000}"/>
    <cellStyle name="Accent2 - 60% 8" xfId="195" xr:uid="{00000000-0005-0000-0000-0000C2000000}"/>
    <cellStyle name="Accent2 - 60% 9" xfId="196" xr:uid="{00000000-0005-0000-0000-0000C3000000}"/>
    <cellStyle name="Accent3" xfId="197" xr:uid="{00000000-0005-0000-0000-0000C4000000}"/>
    <cellStyle name="Accent3 - 20%" xfId="198" xr:uid="{00000000-0005-0000-0000-0000C5000000}"/>
    <cellStyle name="Accent3 - 20% 10" xfId="199" xr:uid="{00000000-0005-0000-0000-0000C6000000}"/>
    <cellStyle name="Accent3 - 20% 11" xfId="200" xr:uid="{00000000-0005-0000-0000-0000C7000000}"/>
    <cellStyle name="Accent3 - 20% 12" xfId="201" xr:uid="{00000000-0005-0000-0000-0000C8000000}"/>
    <cellStyle name="Accent3 - 20% 13" xfId="202" xr:uid="{00000000-0005-0000-0000-0000C9000000}"/>
    <cellStyle name="Accent3 - 20% 2" xfId="203" xr:uid="{00000000-0005-0000-0000-0000CA000000}"/>
    <cellStyle name="Accent3 - 20% 2 2" xfId="204" xr:uid="{00000000-0005-0000-0000-0000CB000000}"/>
    <cellStyle name="Accent3 - 20% 2 2 2" xfId="205" xr:uid="{00000000-0005-0000-0000-0000CC000000}"/>
    <cellStyle name="Accent3 - 20% 3" xfId="206" xr:uid="{00000000-0005-0000-0000-0000CD000000}"/>
    <cellStyle name="Accent3 - 20% 3 2" xfId="207" xr:uid="{00000000-0005-0000-0000-0000CE000000}"/>
    <cellStyle name="Accent3 - 20% 4" xfId="208" xr:uid="{00000000-0005-0000-0000-0000CF000000}"/>
    <cellStyle name="Accent3 - 20% 4 2" xfId="209" xr:uid="{00000000-0005-0000-0000-0000D0000000}"/>
    <cellStyle name="Accent3 - 20% 5" xfId="210" xr:uid="{00000000-0005-0000-0000-0000D1000000}"/>
    <cellStyle name="Accent3 - 20% 5 2" xfId="211" xr:uid="{00000000-0005-0000-0000-0000D2000000}"/>
    <cellStyle name="Accent3 - 20% 6" xfId="212" xr:uid="{00000000-0005-0000-0000-0000D3000000}"/>
    <cellStyle name="Accent3 - 20% 6 2" xfId="213" xr:uid="{00000000-0005-0000-0000-0000D4000000}"/>
    <cellStyle name="Accent3 - 20% 7" xfId="214" xr:uid="{00000000-0005-0000-0000-0000D5000000}"/>
    <cellStyle name="Accent3 - 20% 8" xfId="215" xr:uid="{00000000-0005-0000-0000-0000D6000000}"/>
    <cellStyle name="Accent3 - 20% 9" xfId="216" xr:uid="{00000000-0005-0000-0000-0000D7000000}"/>
    <cellStyle name="Accent3 - 20%_Combinación de negocios - AA-IAMv3" xfId="217" xr:uid="{00000000-0005-0000-0000-0000D8000000}"/>
    <cellStyle name="Accent3 - 40%" xfId="218" xr:uid="{00000000-0005-0000-0000-0000D9000000}"/>
    <cellStyle name="Accent3 - 40% 10" xfId="219" xr:uid="{00000000-0005-0000-0000-0000DA000000}"/>
    <cellStyle name="Accent3 - 40% 11" xfId="220" xr:uid="{00000000-0005-0000-0000-0000DB000000}"/>
    <cellStyle name="Accent3 - 40% 12" xfId="221" xr:uid="{00000000-0005-0000-0000-0000DC000000}"/>
    <cellStyle name="Accent3 - 40% 13" xfId="222" xr:uid="{00000000-0005-0000-0000-0000DD000000}"/>
    <cellStyle name="Accent3 - 40% 2" xfId="223" xr:uid="{00000000-0005-0000-0000-0000DE000000}"/>
    <cellStyle name="Accent3 - 40% 2 2" xfId="224" xr:uid="{00000000-0005-0000-0000-0000DF000000}"/>
    <cellStyle name="Accent3 - 40% 2 2 2" xfId="225" xr:uid="{00000000-0005-0000-0000-0000E0000000}"/>
    <cellStyle name="Accent3 - 40% 3" xfId="226" xr:uid="{00000000-0005-0000-0000-0000E1000000}"/>
    <cellStyle name="Accent3 - 40% 3 2" xfId="227" xr:uid="{00000000-0005-0000-0000-0000E2000000}"/>
    <cellStyle name="Accent3 - 40% 4" xfId="228" xr:uid="{00000000-0005-0000-0000-0000E3000000}"/>
    <cellStyle name="Accent3 - 40% 4 2" xfId="229" xr:uid="{00000000-0005-0000-0000-0000E4000000}"/>
    <cellStyle name="Accent3 - 40% 5" xfId="230" xr:uid="{00000000-0005-0000-0000-0000E5000000}"/>
    <cellStyle name="Accent3 - 40% 5 2" xfId="231" xr:uid="{00000000-0005-0000-0000-0000E6000000}"/>
    <cellStyle name="Accent3 - 40% 6" xfId="232" xr:uid="{00000000-0005-0000-0000-0000E7000000}"/>
    <cellStyle name="Accent3 - 40% 6 2" xfId="233" xr:uid="{00000000-0005-0000-0000-0000E8000000}"/>
    <cellStyle name="Accent3 - 40% 7" xfId="234" xr:uid="{00000000-0005-0000-0000-0000E9000000}"/>
    <cellStyle name="Accent3 - 40% 8" xfId="235" xr:uid="{00000000-0005-0000-0000-0000EA000000}"/>
    <cellStyle name="Accent3 - 40% 9" xfId="236" xr:uid="{00000000-0005-0000-0000-0000EB000000}"/>
    <cellStyle name="Accent3 - 40%_Combinación de negocios - AA-IAMv3" xfId="237" xr:uid="{00000000-0005-0000-0000-0000EC000000}"/>
    <cellStyle name="Accent3 - 60%" xfId="238" xr:uid="{00000000-0005-0000-0000-0000ED000000}"/>
    <cellStyle name="Accent3 - 60% 10" xfId="239" xr:uid="{00000000-0005-0000-0000-0000EE000000}"/>
    <cellStyle name="Accent3 - 60% 11" xfId="240" xr:uid="{00000000-0005-0000-0000-0000EF000000}"/>
    <cellStyle name="Accent3 - 60% 2" xfId="241" xr:uid="{00000000-0005-0000-0000-0000F0000000}"/>
    <cellStyle name="Accent3 - 60% 2 2" xfId="242" xr:uid="{00000000-0005-0000-0000-0000F1000000}"/>
    <cellStyle name="Accent3 - 60% 2 2 2" xfId="243" xr:uid="{00000000-0005-0000-0000-0000F2000000}"/>
    <cellStyle name="Accent3 - 60% 3" xfId="244" xr:uid="{00000000-0005-0000-0000-0000F3000000}"/>
    <cellStyle name="Accent3 - 60% 4" xfId="245" xr:uid="{00000000-0005-0000-0000-0000F4000000}"/>
    <cellStyle name="Accent3 - 60% 5" xfId="246" xr:uid="{00000000-0005-0000-0000-0000F5000000}"/>
    <cellStyle name="Accent3 - 60% 6" xfId="247" xr:uid="{00000000-0005-0000-0000-0000F6000000}"/>
    <cellStyle name="Accent3 - 60% 7" xfId="248" xr:uid="{00000000-0005-0000-0000-0000F7000000}"/>
    <cellStyle name="Accent3 - 60% 8" xfId="249" xr:uid="{00000000-0005-0000-0000-0000F8000000}"/>
    <cellStyle name="Accent3 - 60% 9" xfId="250" xr:uid="{00000000-0005-0000-0000-0000F9000000}"/>
    <cellStyle name="Accent4" xfId="251" xr:uid="{00000000-0005-0000-0000-0000FA000000}"/>
    <cellStyle name="Accent4 - 20%" xfId="252" xr:uid="{00000000-0005-0000-0000-0000FB000000}"/>
    <cellStyle name="Accent4 - 20% 10" xfId="253" xr:uid="{00000000-0005-0000-0000-0000FC000000}"/>
    <cellStyle name="Accent4 - 20% 11" xfId="254" xr:uid="{00000000-0005-0000-0000-0000FD000000}"/>
    <cellStyle name="Accent4 - 20% 12" xfId="255" xr:uid="{00000000-0005-0000-0000-0000FE000000}"/>
    <cellStyle name="Accent4 - 20% 13" xfId="256" xr:uid="{00000000-0005-0000-0000-0000FF000000}"/>
    <cellStyle name="Accent4 - 20% 2" xfId="257" xr:uid="{00000000-0005-0000-0000-000000010000}"/>
    <cellStyle name="Accent4 - 20% 2 2" xfId="258" xr:uid="{00000000-0005-0000-0000-000001010000}"/>
    <cellStyle name="Accent4 - 20% 2 2 2" xfId="259" xr:uid="{00000000-0005-0000-0000-000002010000}"/>
    <cellStyle name="Accent4 - 20% 3" xfId="260" xr:uid="{00000000-0005-0000-0000-000003010000}"/>
    <cellStyle name="Accent4 - 20% 3 2" xfId="261" xr:uid="{00000000-0005-0000-0000-000004010000}"/>
    <cellStyle name="Accent4 - 20% 4" xfId="262" xr:uid="{00000000-0005-0000-0000-000005010000}"/>
    <cellStyle name="Accent4 - 20% 4 2" xfId="263" xr:uid="{00000000-0005-0000-0000-000006010000}"/>
    <cellStyle name="Accent4 - 20% 5" xfId="264" xr:uid="{00000000-0005-0000-0000-000007010000}"/>
    <cellStyle name="Accent4 - 20% 5 2" xfId="265" xr:uid="{00000000-0005-0000-0000-000008010000}"/>
    <cellStyle name="Accent4 - 20% 6" xfId="266" xr:uid="{00000000-0005-0000-0000-000009010000}"/>
    <cellStyle name="Accent4 - 20% 6 2" xfId="267" xr:uid="{00000000-0005-0000-0000-00000A010000}"/>
    <cellStyle name="Accent4 - 20% 7" xfId="268" xr:uid="{00000000-0005-0000-0000-00000B010000}"/>
    <cellStyle name="Accent4 - 20% 8" xfId="269" xr:uid="{00000000-0005-0000-0000-00000C010000}"/>
    <cellStyle name="Accent4 - 20% 9" xfId="270" xr:uid="{00000000-0005-0000-0000-00000D010000}"/>
    <cellStyle name="Accent4 - 20%_Combinación de negocios - AA-IAMv3" xfId="271" xr:uid="{00000000-0005-0000-0000-00000E010000}"/>
    <cellStyle name="Accent4 - 40%" xfId="272" xr:uid="{00000000-0005-0000-0000-00000F010000}"/>
    <cellStyle name="Accent4 - 40% 10" xfId="273" xr:uid="{00000000-0005-0000-0000-000010010000}"/>
    <cellStyle name="Accent4 - 40% 11" xfId="274" xr:uid="{00000000-0005-0000-0000-000011010000}"/>
    <cellStyle name="Accent4 - 40% 12" xfId="275" xr:uid="{00000000-0005-0000-0000-000012010000}"/>
    <cellStyle name="Accent4 - 40% 13" xfId="276" xr:uid="{00000000-0005-0000-0000-000013010000}"/>
    <cellStyle name="Accent4 - 40% 2" xfId="277" xr:uid="{00000000-0005-0000-0000-000014010000}"/>
    <cellStyle name="Accent4 - 40% 2 2" xfId="278" xr:uid="{00000000-0005-0000-0000-000015010000}"/>
    <cellStyle name="Accent4 - 40% 2 2 2" xfId="279" xr:uid="{00000000-0005-0000-0000-000016010000}"/>
    <cellStyle name="Accent4 - 40% 3" xfId="280" xr:uid="{00000000-0005-0000-0000-000017010000}"/>
    <cellStyle name="Accent4 - 40% 3 2" xfId="281" xr:uid="{00000000-0005-0000-0000-000018010000}"/>
    <cellStyle name="Accent4 - 40% 4" xfId="282" xr:uid="{00000000-0005-0000-0000-000019010000}"/>
    <cellStyle name="Accent4 - 40% 4 2" xfId="283" xr:uid="{00000000-0005-0000-0000-00001A010000}"/>
    <cellStyle name="Accent4 - 40% 5" xfId="284" xr:uid="{00000000-0005-0000-0000-00001B010000}"/>
    <cellStyle name="Accent4 - 40% 5 2" xfId="285" xr:uid="{00000000-0005-0000-0000-00001C010000}"/>
    <cellStyle name="Accent4 - 40% 6" xfId="286" xr:uid="{00000000-0005-0000-0000-00001D010000}"/>
    <cellStyle name="Accent4 - 40% 6 2" xfId="287" xr:uid="{00000000-0005-0000-0000-00001E010000}"/>
    <cellStyle name="Accent4 - 40% 7" xfId="288" xr:uid="{00000000-0005-0000-0000-00001F010000}"/>
    <cellStyle name="Accent4 - 40% 8" xfId="289" xr:uid="{00000000-0005-0000-0000-000020010000}"/>
    <cellStyle name="Accent4 - 40% 9" xfId="290" xr:uid="{00000000-0005-0000-0000-000021010000}"/>
    <cellStyle name="Accent4 - 40%_Combinación de negocios - AA-IAMv3" xfId="291" xr:uid="{00000000-0005-0000-0000-000022010000}"/>
    <cellStyle name="Accent4 - 60%" xfId="292" xr:uid="{00000000-0005-0000-0000-000023010000}"/>
    <cellStyle name="Accent4 - 60% 10" xfId="293" xr:uid="{00000000-0005-0000-0000-000024010000}"/>
    <cellStyle name="Accent4 - 60% 11" xfId="294" xr:uid="{00000000-0005-0000-0000-000025010000}"/>
    <cellStyle name="Accent4 - 60% 2" xfId="295" xr:uid="{00000000-0005-0000-0000-000026010000}"/>
    <cellStyle name="Accent4 - 60% 2 2" xfId="296" xr:uid="{00000000-0005-0000-0000-000027010000}"/>
    <cellStyle name="Accent4 - 60% 2 2 2" xfId="297" xr:uid="{00000000-0005-0000-0000-000028010000}"/>
    <cellStyle name="Accent4 - 60% 3" xfId="298" xr:uid="{00000000-0005-0000-0000-000029010000}"/>
    <cellStyle name="Accent4 - 60% 4" xfId="299" xr:uid="{00000000-0005-0000-0000-00002A010000}"/>
    <cellStyle name="Accent4 - 60% 5" xfId="300" xr:uid="{00000000-0005-0000-0000-00002B010000}"/>
    <cellStyle name="Accent4 - 60% 6" xfId="301" xr:uid="{00000000-0005-0000-0000-00002C010000}"/>
    <cellStyle name="Accent4 - 60% 7" xfId="302" xr:uid="{00000000-0005-0000-0000-00002D010000}"/>
    <cellStyle name="Accent4 - 60% 8" xfId="303" xr:uid="{00000000-0005-0000-0000-00002E010000}"/>
    <cellStyle name="Accent4 - 60% 9" xfId="304" xr:uid="{00000000-0005-0000-0000-00002F010000}"/>
    <cellStyle name="Accent5" xfId="305" xr:uid="{00000000-0005-0000-0000-000030010000}"/>
    <cellStyle name="Accent5 - 20%" xfId="306" xr:uid="{00000000-0005-0000-0000-000031010000}"/>
    <cellStyle name="Accent5 - 20% 10" xfId="307" xr:uid="{00000000-0005-0000-0000-000032010000}"/>
    <cellStyle name="Accent5 - 20% 11" xfId="308" xr:uid="{00000000-0005-0000-0000-000033010000}"/>
    <cellStyle name="Accent5 - 20% 12" xfId="309" xr:uid="{00000000-0005-0000-0000-000034010000}"/>
    <cellStyle name="Accent5 - 20% 13" xfId="310" xr:uid="{00000000-0005-0000-0000-000035010000}"/>
    <cellStyle name="Accent5 - 20% 2" xfId="311" xr:uid="{00000000-0005-0000-0000-000036010000}"/>
    <cellStyle name="Accent5 - 20% 2 2" xfId="312" xr:uid="{00000000-0005-0000-0000-000037010000}"/>
    <cellStyle name="Accent5 - 20% 2 2 2" xfId="313" xr:uid="{00000000-0005-0000-0000-000038010000}"/>
    <cellStyle name="Accent5 - 20% 3" xfId="314" xr:uid="{00000000-0005-0000-0000-000039010000}"/>
    <cellStyle name="Accent5 - 20% 3 2" xfId="315" xr:uid="{00000000-0005-0000-0000-00003A010000}"/>
    <cellStyle name="Accent5 - 20% 4" xfId="316" xr:uid="{00000000-0005-0000-0000-00003B010000}"/>
    <cellStyle name="Accent5 - 20% 4 2" xfId="317" xr:uid="{00000000-0005-0000-0000-00003C010000}"/>
    <cellStyle name="Accent5 - 20% 5" xfId="318" xr:uid="{00000000-0005-0000-0000-00003D010000}"/>
    <cellStyle name="Accent5 - 20% 5 2" xfId="319" xr:uid="{00000000-0005-0000-0000-00003E010000}"/>
    <cellStyle name="Accent5 - 20% 6" xfId="320" xr:uid="{00000000-0005-0000-0000-00003F010000}"/>
    <cellStyle name="Accent5 - 20% 6 2" xfId="321" xr:uid="{00000000-0005-0000-0000-000040010000}"/>
    <cellStyle name="Accent5 - 20% 7" xfId="322" xr:uid="{00000000-0005-0000-0000-000041010000}"/>
    <cellStyle name="Accent5 - 20% 8" xfId="323" xr:uid="{00000000-0005-0000-0000-000042010000}"/>
    <cellStyle name="Accent5 - 20% 9" xfId="324" xr:uid="{00000000-0005-0000-0000-000043010000}"/>
    <cellStyle name="Accent5 - 20%_Combinación de negocios - AA-IAMv3" xfId="325" xr:uid="{00000000-0005-0000-0000-000044010000}"/>
    <cellStyle name="Accent5 - 40%" xfId="326" xr:uid="{00000000-0005-0000-0000-000045010000}"/>
    <cellStyle name="Accent5 - 40% 2" xfId="327" xr:uid="{00000000-0005-0000-0000-000046010000}"/>
    <cellStyle name="Accent5 - 40% 2 2" xfId="328" xr:uid="{00000000-0005-0000-0000-000047010000}"/>
    <cellStyle name="Accent5 - 40% 3" xfId="329" xr:uid="{00000000-0005-0000-0000-000048010000}"/>
    <cellStyle name="Accent5 - 40% 3 2" xfId="330" xr:uid="{00000000-0005-0000-0000-000049010000}"/>
    <cellStyle name="Accent5 - 40% 4" xfId="331" xr:uid="{00000000-0005-0000-0000-00004A010000}"/>
    <cellStyle name="Accent5 - 40% 4 2" xfId="332" xr:uid="{00000000-0005-0000-0000-00004B010000}"/>
    <cellStyle name="Accent5 - 40% 5" xfId="333" xr:uid="{00000000-0005-0000-0000-00004C010000}"/>
    <cellStyle name="Accent5 - 40% 5 2" xfId="334" xr:uid="{00000000-0005-0000-0000-00004D010000}"/>
    <cellStyle name="Accent5 - 40% 6" xfId="335" xr:uid="{00000000-0005-0000-0000-00004E010000}"/>
    <cellStyle name="Accent5 - 40% 6 2" xfId="336" xr:uid="{00000000-0005-0000-0000-00004F010000}"/>
    <cellStyle name="Accent5 - 40% 7" xfId="337" xr:uid="{00000000-0005-0000-0000-000050010000}"/>
    <cellStyle name="Accent5 - 40% 8" xfId="338" xr:uid="{00000000-0005-0000-0000-000051010000}"/>
    <cellStyle name="Accent5 - 40% 9" xfId="339" xr:uid="{00000000-0005-0000-0000-000052010000}"/>
    <cellStyle name="Accent5 - 40%_Combinación de negocios - AA-IAMv3" xfId="340" xr:uid="{00000000-0005-0000-0000-000053010000}"/>
    <cellStyle name="Accent5 - 60%" xfId="341" xr:uid="{00000000-0005-0000-0000-000054010000}"/>
    <cellStyle name="Accent5 - 60% 10" xfId="342" xr:uid="{00000000-0005-0000-0000-000055010000}"/>
    <cellStyle name="Accent5 - 60% 11" xfId="343" xr:uid="{00000000-0005-0000-0000-000056010000}"/>
    <cellStyle name="Accent5 - 60% 2" xfId="344" xr:uid="{00000000-0005-0000-0000-000057010000}"/>
    <cellStyle name="Accent5 - 60% 2 2" xfId="345" xr:uid="{00000000-0005-0000-0000-000058010000}"/>
    <cellStyle name="Accent5 - 60% 2 2 2" xfId="346" xr:uid="{00000000-0005-0000-0000-000059010000}"/>
    <cellStyle name="Accent5 - 60% 3" xfId="347" xr:uid="{00000000-0005-0000-0000-00005A010000}"/>
    <cellStyle name="Accent5 - 60% 4" xfId="348" xr:uid="{00000000-0005-0000-0000-00005B010000}"/>
    <cellStyle name="Accent5 - 60% 5" xfId="349" xr:uid="{00000000-0005-0000-0000-00005C010000}"/>
    <cellStyle name="Accent5 - 60% 6" xfId="350" xr:uid="{00000000-0005-0000-0000-00005D010000}"/>
    <cellStyle name="Accent5 - 60% 7" xfId="351" xr:uid="{00000000-0005-0000-0000-00005E010000}"/>
    <cellStyle name="Accent5 - 60% 8" xfId="352" xr:uid="{00000000-0005-0000-0000-00005F010000}"/>
    <cellStyle name="Accent5 - 60% 9" xfId="353" xr:uid="{00000000-0005-0000-0000-000060010000}"/>
    <cellStyle name="Accent6" xfId="354" xr:uid="{00000000-0005-0000-0000-000061010000}"/>
    <cellStyle name="Accent6 - 20%" xfId="355" xr:uid="{00000000-0005-0000-0000-000062010000}"/>
    <cellStyle name="Accent6 - 20% 2" xfId="356" xr:uid="{00000000-0005-0000-0000-000063010000}"/>
    <cellStyle name="Accent6 - 20% 2 2" xfId="357" xr:uid="{00000000-0005-0000-0000-000064010000}"/>
    <cellStyle name="Accent6 - 20% 3" xfId="358" xr:uid="{00000000-0005-0000-0000-000065010000}"/>
    <cellStyle name="Accent6 - 20% 3 2" xfId="359" xr:uid="{00000000-0005-0000-0000-000066010000}"/>
    <cellStyle name="Accent6 - 20% 4" xfId="360" xr:uid="{00000000-0005-0000-0000-000067010000}"/>
    <cellStyle name="Accent6 - 20% 4 2" xfId="361" xr:uid="{00000000-0005-0000-0000-000068010000}"/>
    <cellStyle name="Accent6 - 20% 5" xfId="362" xr:uid="{00000000-0005-0000-0000-000069010000}"/>
    <cellStyle name="Accent6 - 20% 5 2" xfId="363" xr:uid="{00000000-0005-0000-0000-00006A010000}"/>
    <cellStyle name="Accent6 - 20% 6" xfId="364" xr:uid="{00000000-0005-0000-0000-00006B010000}"/>
    <cellStyle name="Accent6 - 20% 6 2" xfId="365" xr:uid="{00000000-0005-0000-0000-00006C010000}"/>
    <cellStyle name="Accent6 - 20% 7" xfId="366" xr:uid="{00000000-0005-0000-0000-00006D010000}"/>
    <cellStyle name="Accent6 - 20% 8" xfId="367" xr:uid="{00000000-0005-0000-0000-00006E010000}"/>
    <cellStyle name="Accent6 - 20% 9" xfId="368" xr:uid="{00000000-0005-0000-0000-00006F010000}"/>
    <cellStyle name="Accent6 - 20%_Combinación de negocios - AA-IAMv3" xfId="369" xr:uid="{00000000-0005-0000-0000-000070010000}"/>
    <cellStyle name="Accent6 - 40%" xfId="370" xr:uid="{00000000-0005-0000-0000-000071010000}"/>
    <cellStyle name="Accent6 - 40% 10" xfId="371" xr:uid="{00000000-0005-0000-0000-000072010000}"/>
    <cellStyle name="Accent6 - 40% 11" xfId="372" xr:uid="{00000000-0005-0000-0000-000073010000}"/>
    <cellStyle name="Accent6 - 40% 12" xfId="373" xr:uid="{00000000-0005-0000-0000-000074010000}"/>
    <cellStyle name="Accent6 - 40% 13" xfId="374" xr:uid="{00000000-0005-0000-0000-000075010000}"/>
    <cellStyle name="Accent6 - 40% 2" xfId="375" xr:uid="{00000000-0005-0000-0000-000076010000}"/>
    <cellStyle name="Accent6 - 40% 2 2" xfId="376" xr:uid="{00000000-0005-0000-0000-000077010000}"/>
    <cellStyle name="Accent6 - 40% 2 2 2" xfId="377" xr:uid="{00000000-0005-0000-0000-000078010000}"/>
    <cellStyle name="Accent6 - 40% 3" xfId="378" xr:uid="{00000000-0005-0000-0000-000079010000}"/>
    <cellStyle name="Accent6 - 40% 3 2" xfId="379" xr:uid="{00000000-0005-0000-0000-00007A010000}"/>
    <cellStyle name="Accent6 - 40% 4" xfId="380" xr:uid="{00000000-0005-0000-0000-00007B010000}"/>
    <cellStyle name="Accent6 - 40% 4 2" xfId="381" xr:uid="{00000000-0005-0000-0000-00007C010000}"/>
    <cellStyle name="Accent6 - 40% 5" xfId="382" xr:uid="{00000000-0005-0000-0000-00007D010000}"/>
    <cellStyle name="Accent6 - 40% 5 2" xfId="383" xr:uid="{00000000-0005-0000-0000-00007E010000}"/>
    <cellStyle name="Accent6 - 40% 6" xfId="384" xr:uid="{00000000-0005-0000-0000-00007F010000}"/>
    <cellStyle name="Accent6 - 40% 6 2" xfId="385" xr:uid="{00000000-0005-0000-0000-000080010000}"/>
    <cellStyle name="Accent6 - 40% 7" xfId="386" xr:uid="{00000000-0005-0000-0000-000081010000}"/>
    <cellStyle name="Accent6 - 40% 8" xfId="387" xr:uid="{00000000-0005-0000-0000-000082010000}"/>
    <cellStyle name="Accent6 - 40% 9" xfId="388" xr:uid="{00000000-0005-0000-0000-000083010000}"/>
    <cellStyle name="Accent6 - 40%_Combinación de negocios - AA-IAMv3" xfId="389" xr:uid="{00000000-0005-0000-0000-000084010000}"/>
    <cellStyle name="Accent6 - 60%" xfId="390" xr:uid="{00000000-0005-0000-0000-000085010000}"/>
    <cellStyle name="Accent6 - 60% 10" xfId="391" xr:uid="{00000000-0005-0000-0000-000086010000}"/>
    <cellStyle name="Accent6 - 60% 11" xfId="392" xr:uid="{00000000-0005-0000-0000-000087010000}"/>
    <cellStyle name="Accent6 - 60% 2" xfId="393" xr:uid="{00000000-0005-0000-0000-000088010000}"/>
    <cellStyle name="Accent6 - 60% 2 2" xfId="394" xr:uid="{00000000-0005-0000-0000-000089010000}"/>
    <cellStyle name="Accent6 - 60% 2 2 2" xfId="395" xr:uid="{00000000-0005-0000-0000-00008A010000}"/>
    <cellStyle name="Accent6 - 60% 3" xfId="396" xr:uid="{00000000-0005-0000-0000-00008B010000}"/>
    <cellStyle name="Accent6 - 60% 4" xfId="397" xr:uid="{00000000-0005-0000-0000-00008C010000}"/>
    <cellStyle name="Accent6 - 60% 5" xfId="398" xr:uid="{00000000-0005-0000-0000-00008D010000}"/>
    <cellStyle name="Accent6 - 60% 6" xfId="399" xr:uid="{00000000-0005-0000-0000-00008E010000}"/>
    <cellStyle name="Accent6 - 60% 7" xfId="400" xr:uid="{00000000-0005-0000-0000-00008F010000}"/>
    <cellStyle name="Accent6 - 60% 8" xfId="401" xr:uid="{00000000-0005-0000-0000-000090010000}"/>
    <cellStyle name="Accent6 - 60% 9" xfId="402" xr:uid="{00000000-0005-0000-0000-000091010000}"/>
    <cellStyle name="Akcent 1" xfId="403" xr:uid="{00000000-0005-0000-0000-000092010000}"/>
    <cellStyle name="Akcent 2" xfId="404" xr:uid="{00000000-0005-0000-0000-000093010000}"/>
    <cellStyle name="Akcent 3" xfId="405" xr:uid="{00000000-0005-0000-0000-000094010000}"/>
    <cellStyle name="Akcent 4" xfId="406" xr:uid="{00000000-0005-0000-0000-000095010000}"/>
    <cellStyle name="Akcent 5" xfId="407" xr:uid="{00000000-0005-0000-0000-000096010000}"/>
    <cellStyle name="Akcent 6" xfId="408" xr:uid="{00000000-0005-0000-0000-000097010000}"/>
    <cellStyle name="Bad" xfId="409" xr:uid="{00000000-0005-0000-0000-000098010000}"/>
    <cellStyle name="Buena 2" xfId="411" xr:uid="{00000000-0005-0000-0000-000099010000}"/>
    <cellStyle name="Buena 2 2" xfId="412" xr:uid="{00000000-0005-0000-0000-00009A010000}"/>
    <cellStyle name="Buena 2 3" xfId="413" xr:uid="{00000000-0005-0000-0000-00009B010000}"/>
    <cellStyle name="Buena 2 4" xfId="414" xr:uid="{00000000-0005-0000-0000-00009C010000}"/>
    <cellStyle name="Buena 2 5" xfId="415" xr:uid="{00000000-0005-0000-0000-00009D010000}"/>
    <cellStyle name="Buena 2 6" xfId="416" xr:uid="{00000000-0005-0000-0000-00009E010000}"/>
    <cellStyle name="Buena 3" xfId="417" xr:uid="{00000000-0005-0000-0000-00009F010000}"/>
    <cellStyle name="Buena 3 2" xfId="418" xr:uid="{00000000-0005-0000-0000-0000A0010000}"/>
    <cellStyle name="Buena 3 3" xfId="419" xr:uid="{00000000-0005-0000-0000-0000A1010000}"/>
    <cellStyle name="Buena 3 4" xfId="420" xr:uid="{00000000-0005-0000-0000-0000A2010000}"/>
    <cellStyle name="Buena 3 5" xfId="421" xr:uid="{00000000-0005-0000-0000-0000A3010000}"/>
    <cellStyle name="Buena 4" xfId="422" xr:uid="{00000000-0005-0000-0000-0000A4010000}"/>
    <cellStyle name="Buena 4 2" xfId="423" xr:uid="{00000000-0005-0000-0000-0000A5010000}"/>
    <cellStyle name="Buena 4 3" xfId="424" xr:uid="{00000000-0005-0000-0000-0000A6010000}"/>
    <cellStyle name="Buena 4 4" xfId="425" xr:uid="{00000000-0005-0000-0000-0000A7010000}"/>
    <cellStyle name="Buena 4 5" xfId="426" xr:uid="{00000000-0005-0000-0000-0000A8010000}"/>
    <cellStyle name="Buena 5" xfId="427" xr:uid="{00000000-0005-0000-0000-0000A9010000}"/>
    <cellStyle name="Buena 5 2" xfId="428" xr:uid="{00000000-0005-0000-0000-0000AA010000}"/>
    <cellStyle name="Buena 5 3" xfId="429" xr:uid="{00000000-0005-0000-0000-0000AB010000}"/>
    <cellStyle name="Buena 5 4" xfId="430" xr:uid="{00000000-0005-0000-0000-0000AC010000}"/>
    <cellStyle name="Buena 5 5" xfId="431" xr:uid="{00000000-0005-0000-0000-0000AD010000}"/>
    <cellStyle name="Buena 6" xfId="432" xr:uid="{00000000-0005-0000-0000-0000AE010000}"/>
    <cellStyle name="Buena 6 2" xfId="433" xr:uid="{00000000-0005-0000-0000-0000AF010000}"/>
    <cellStyle name="Buena 7" xfId="434" xr:uid="{00000000-0005-0000-0000-0000B0010000}"/>
    <cellStyle name="Buena 7 2" xfId="435" xr:uid="{00000000-0005-0000-0000-0000B1010000}"/>
    <cellStyle name="Buena 8" xfId="436" xr:uid="{00000000-0005-0000-0000-0000B2010000}"/>
    <cellStyle name="Buena 8 2" xfId="437" xr:uid="{00000000-0005-0000-0000-0000B3010000}"/>
    <cellStyle name="Buena 9" xfId="438" xr:uid="{00000000-0005-0000-0000-0000B4010000}"/>
    <cellStyle name="Buena 9 2" xfId="439" xr:uid="{00000000-0005-0000-0000-0000B5010000}"/>
    <cellStyle name="Bueno" xfId="410" builtinId="26" customBuiltin="1"/>
    <cellStyle name="Calculation" xfId="440" xr:uid="{00000000-0005-0000-0000-0000B7010000}"/>
    <cellStyle name="Cálculo" xfId="441" builtinId="22" customBuiltin="1"/>
    <cellStyle name="Cálculo 2" xfId="442" xr:uid="{00000000-0005-0000-0000-0000B9010000}"/>
    <cellStyle name="Cálculo 2 2" xfId="443" xr:uid="{00000000-0005-0000-0000-0000BA010000}"/>
    <cellStyle name="Cálculo 2 3" xfId="444" xr:uid="{00000000-0005-0000-0000-0000BB010000}"/>
    <cellStyle name="Cálculo 2 4" xfId="445" xr:uid="{00000000-0005-0000-0000-0000BC010000}"/>
    <cellStyle name="Cálculo 2 5" xfId="446" xr:uid="{00000000-0005-0000-0000-0000BD010000}"/>
    <cellStyle name="Cálculo 2 6" xfId="447" xr:uid="{00000000-0005-0000-0000-0000BE010000}"/>
    <cellStyle name="Cálculo 3" xfId="448" xr:uid="{00000000-0005-0000-0000-0000BF010000}"/>
    <cellStyle name="Cálculo 3 2" xfId="449" xr:uid="{00000000-0005-0000-0000-0000C0010000}"/>
    <cellStyle name="Cálculo 3 3" xfId="450" xr:uid="{00000000-0005-0000-0000-0000C1010000}"/>
    <cellStyle name="Cálculo 3 4" xfId="451" xr:uid="{00000000-0005-0000-0000-0000C2010000}"/>
    <cellStyle name="Cálculo 3 5" xfId="452" xr:uid="{00000000-0005-0000-0000-0000C3010000}"/>
    <cellStyle name="Cálculo 4" xfId="453" xr:uid="{00000000-0005-0000-0000-0000C4010000}"/>
    <cellStyle name="Cálculo 4 2" xfId="454" xr:uid="{00000000-0005-0000-0000-0000C5010000}"/>
    <cellStyle name="Cálculo 4 3" xfId="455" xr:uid="{00000000-0005-0000-0000-0000C6010000}"/>
    <cellStyle name="Cálculo 4 4" xfId="456" xr:uid="{00000000-0005-0000-0000-0000C7010000}"/>
    <cellStyle name="Cálculo 4 5" xfId="457" xr:uid="{00000000-0005-0000-0000-0000C8010000}"/>
    <cellStyle name="Cálculo 5" xfId="458" xr:uid="{00000000-0005-0000-0000-0000C9010000}"/>
    <cellStyle name="Cálculo 5 2" xfId="459" xr:uid="{00000000-0005-0000-0000-0000CA010000}"/>
    <cellStyle name="Cálculo 5 3" xfId="460" xr:uid="{00000000-0005-0000-0000-0000CB010000}"/>
    <cellStyle name="Cálculo 5 4" xfId="461" xr:uid="{00000000-0005-0000-0000-0000CC010000}"/>
    <cellStyle name="Cálculo 5 5" xfId="462" xr:uid="{00000000-0005-0000-0000-0000CD010000}"/>
    <cellStyle name="Cálculo 6" xfId="463" xr:uid="{00000000-0005-0000-0000-0000CE010000}"/>
    <cellStyle name="Cálculo 6 2" xfId="464" xr:uid="{00000000-0005-0000-0000-0000CF010000}"/>
    <cellStyle name="Cálculo 7" xfId="465" xr:uid="{00000000-0005-0000-0000-0000D0010000}"/>
    <cellStyle name="Cálculo 8" xfId="466" xr:uid="{00000000-0005-0000-0000-0000D1010000}"/>
    <cellStyle name="Cálculo 9" xfId="467" xr:uid="{00000000-0005-0000-0000-0000D2010000}"/>
    <cellStyle name="Celda de comprobación" xfId="468" builtinId="23" customBuiltin="1"/>
    <cellStyle name="Celda de comprobación 2" xfId="469" xr:uid="{00000000-0005-0000-0000-0000D4010000}"/>
    <cellStyle name="Celda de comprobación 2 2" xfId="470" xr:uid="{00000000-0005-0000-0000-0000D5010000}"/>
    <cellStyle name="Celda de comprobación 2 3" xfId="471" xr:uid="{00000000-0005-0000-0000-0000D6010000}"/>
    <cellStyle name="Celda de comprobación 2 4" xfId="472" xr:uid="{00000000-0005-0000-0000-0000D7010000}"/>
    <cellStyle name="Celda de comprobación 2 5" xfId="473" xr:uid="{00000000-0005-0000-0000-0000D8010000}"/>
    <cellStyle name="Celda de comprobación 2 6" xfId="474" xr:uid="{00000000-0005-0000-0000-0000D9010000}"/>
    <cellStyle name="Celda de comprobación 3" xfId="475" xr:uid="{00000000-0005-0000-0000-0000DA010000}"/>
    <cellStyle name="Celda de comprobación 3 2" xfId="476" xr:uid="{00000000-0005-0000-0000-0000DB010000}"/>
    <cellStyle name="Celda de comprobación 3 3" xfId="477" xr:uid="{00000000-0005-0000-0000-0000DC010000}"/>
    <cellStyle name="Celda de comprobación 3 4" xfId="478" xr:uid="{00000000-0005-0000-0000-0000DD010000}"/>
    <cellStyle name="Celda de comprobación 3 5" xfId="479" xr:uid="{00000000-0005-0000-0000-0000DE010000}"/>
    <cellStyle name="Celda de comprobación 4" xfId="480" xr:uid="{00000000-0005-0000-0000-0000DF010000}"/>
    <cellStyle name="Celda de comprobación 4 2" xfId="481" xr:uid="{00000000-0005-0000-0000-0000E0010000}"/>
    <cellStyle name="Celda de comprobación 4 3" xfId="482" xr:uid="{00000000-0005-0000-0000-0000E1010000}"/>
    <cellStyle name="Celda de comprobación 4 4" xfId="483" xr:uid="{00000000-0005-0000-0000-0000E2010000}"/>
    <cellStyle name="Celda de comprobación 4 5" xfId="484" xr:uid="{00000000-0005-0000-0000-0000E3010000}"/>
    <cellStyle name="Celda de comprobación 5" xfId="485" xr:uid="{00000000-0005-0000-0000-0000E4010000}"/>
    <cellStyle name="Celda de comprobación 5 2" xfId="486" xr:uid="{00000000-0005-0000-0000-0000E5010000}"/>
    <cellStyle name="Celda de comprobación 5 3" xfId="487" xr:uid="{00000000-0005-0000-0000-0000E6010000}"/>
    <cellStyle name="Celda de comprobación 5 4" xfId="488" xr:uid="{00000000-0005-0000-0000-0000E7010000}"/>
    <cellStyle name="Celda de comprobación 5 5" xfId="489" xr:uid="{00000000-0005-0000-0000-0000E8010000}"/>
    <cellStyle name="Celda de comprobación 6" xfId="490" xr:uid="{00000000-0005-0000-0000-0000E9010000}"/>
    <cellStyle name="Celda de comprobación 6 2" xfId="491" xr:uid="{00000000-0005-0000-0000-0000EA010000}"/>
    <cellStyle name="Celda de comprobación 7" xfId="492" xr:uid="{00000000-0005-0000-0000-0000EB010000}"/>
    <cellStyle name="Celda de comprobación 8" xfId="493" xr:uid="{00000000-0005-0000-0000-0000EC010000}"/>
    <cellStyle name="Celda de comprobación 9" xfId="494" xr:uid="{00000000-0005-0000-0000-0000ED010000}"/>
    <cellStyle name="Celda vinculada" xfId="495" builtinId="24" customBuiltin="1"/>
    <cellStyle name="Celda vinculada 2" xfId="496" xr:uid="{00000000-0005-0000-0000-0000EF010000}"/>
    <cellStyle name="Celda vinculada 2 2" xfId="497" xr:uid="{00000000-0005-0000-0000-0000F0010000}"/>
    <cellStyle name="Celda vinculada 2 3" xfId="498" xr:uid="{00000000-0005-0000-0000-0000F1010000}"/>
    <cellStyle name="Celda vinculada 2 4" xfId="499" xr:uid="{00000000-0005-0000-0000-0000F2010000}"/>
    <cellStyle name="Celda vinculada 2 5" xfId="500" xr:uid="{00000000-0005-0000-0000-0000F3010000}"/>
    <cellStyle name="Celda vinculada 2 6" xfId="501" xr:uid="{00000000-0005-0000-0000-0000F4010000}"/>
    <cellStyle name="Celda vinculada 3" xfId="502" xr:uid="{00000000-0005-0000-0000-0000F5010000}"/>
    <cellStyle name="Celda vinculada 3 2" xfId="503" xr:uid="{00000000-0005-0000-0000-0000F6010000}"/>
    <cellStyle name="Celda vinculada 3 3" xfId="504" xr:uid="{00000000-0005-0000-0000-0000F7010000}"/>
    <cellStyle name="Celda vinculada 3 4" xfId="505" xr:uid="{00000000-0005-0000-0000-0000F8010000}"/>
    <cellStyle name="Celda vinculada 3 5" xfId="506" xr:uid="{00000000-0005-0000-0000-0000F9010000}"/>
    <cellStyle name="Celda vinculada 4" xfId="507" xr:uid="{00000000-0005-0000-0000-0000FA010000}"/>
    <cellStyle name="Celda vinculada 4 2" xfId="508" xr:uid="{00000000-0005-0000-0000-0000FB010000}"/>
    <cellStyle name="Celda vinculada 4 3" xfId="509" xr:uid="{00000000-0005-0000-0000-0000FC010000}"/>
    <cellStyle name="Celda vinculada 4 4" xfId="510" xr:uid="{00000000-0005-0000-0000-0000FD010000}"/>
    <cellStyle name="Celda vinculada 4 5" xfId="511" xr:uid="{00000000-0005-0000-0000-0000FE010000}"/>
    <cellStyle name="Celda vinculada 5" xfId="512" xr:uid="{00000000-0005-0000-0000-0000FF010000}"/>
    <cellStyle name="Celda vinculada 5 2" xfId="513" xr:uid="{00000000-0005-0000-0000-000000020000}"/>
    <cellStyle name="Celda vinculada 5 3" xfId="514" xr:uid="{00000000-0005-0000-0000-000001020000}"/>
    <cellStyle name="Celda vinculada 5 4" xfId="515" xr:uid="{00000000-0005-0000-0000-000002020000}"/>
    <cellStyle name="Celda vinculada 5 5" xfId="516" xr:uid="{00000000-0005-0000-0000-000003020000}"/>
    <cellStyle name="Celda vinculada 6" xfId="517" xr:uid="{00000000-0005-0000-0000-000004020000}"/>
    <cellStyle name="Celda vinculada 6 2" xfId="518" xr:uid="{00000000-0005-0000-0000-000005020000}"/>
    <cellStyle name="Celda vinculada 7" xfId="519" xr:uid="{00000000-0005-0000-0000-000006020000}"/>
    <cellStyle name="Celda vinculada 8" xfId="520" xr:uid="{00000000-0005-0000-0000-000007020000}"/>
    <cellStyle name="Celda vinculada 9" xfId="521" xr:uid="{00000000-0005-0000-0000-000008020000}"/>
    <cellStyle name="Check Cell" xfId="522" xr:uid="{00000000-0005-0000-0000-000009020000}"/>
    <cellStyle name="Check Cell 2" xfId="523" xr:uid="{00000000-0005-0000-0000-00000A020000}"/>
    <cellStyle name="Check Cell 3" xfId="524" xr:uid="{00000000-0005-0000-0000-00000B020000}"/>
    <cellStyle name="Check Cell 4" xfId="525" xr:uid="{00000000-0005-0000-0000-00000C020000}"/>
    <cellStyle name="Check Cell 5" xfId="526" xr:uid="{00000000-0005-0000-0000-00000D020000}"/>
    <cellStyle name="Dane wej?ciowe" xfId="527" xr:uid="{00000000-0005-0000-0000-00000E020000}"/>
    <cellStyle name="Dane wejściowe" xfId="528" xr:uid="{00000000-0005-0000-0000-00000F020000}"/>
    <cellStyle name="Dane wyj?ciowe" xfId="529" xr:uid="{00000000-0005-0000-0000-000010020000}"/>
    <cellStyle name="Dane wyjściowe" xfId="530" xr:uid="{00000000-0005-0000-0000-000011020000}"/>
    <cellStyle name="Dobre" xfId="531" xr:uid="{00000000-0005-0000-0000-000012020000}"/>
    <cellStyle name="Emphasis 1" xfId="532" xr:uid="{00000000-0005-0000-0000-000013020000}"/>
    <cellStyle name="Emphasis 1 10" xfId="533" xr:uid="{00000000-0005-0000-0000-000014020000}"/>
    <cellStyle name="Emphasis 1 11" xfId="534" xr:uid="{00000000-0005-0000-0000-000015020000}"/>
    <cellStyle name="Emphasis 1 2" xfId="535" xr:uid="{00000000-0005-0000-0000-000016020000}"/>
    <cellStyle name="Emphasis 1 2 2" xfId="536" xr:uid="{00000000-0005-0000-0000-000017020000}"/>
    <cellStyle name="Emphasis 1 2 2 2" xfId="537" xr:uid="{00000000-0005-0000-0000-000018020000}"/>
    <cellStyle name="Emphasis 1 3" xfId="538" xr:uid="{00000000-0005-0000-0000-000019020000}"/>
    <cellStyle name="Emphasis 1 4" xfId="539" xr:uid="{00000000-0005-0000-0000-00001A020000}"/>
    <cellStyle name="Emphasis 1 5" xfId="540" xr:uid="{00000000-0005-0000-0000-00001B020000}"/>
    <cellStyle name="Emphasis 1 6" xfId="541" xr:uid="{00000000-0005-0000-0000-00001C020000}"/>
    <cellStyle name="Emphasis 1 7" xfId="542" xr:uid="{00000000-0005-0000-0000-00001D020000}"/>
    <cellStyle name="Emphasis 1 8" xfId="543" xr:uid="{00000000-0005-0000-0000-00001E020000}"/>
    <cellStyle name="Emphasis 1 9" xfId="544" xr:uid="{00000000-0005-0000-0000-00001F020000}"/>
    <cellStyle name="Emphasis 2" xfId="545" xr:uid="{00000000-0005-0000-0000-000020020000}"/>
    <cellStyle name="Emphasis 2 10" xfId="546" xr:uid="{00000000-0005-0000-0000-000021020000}"/>
    <cellStyle name="Emphasis 2 11" xfId="547" xr:uid="{00000000-0005-0000-0000-000022020000}"/>
    <cellStyle name="Emphasis 2 2" xfId="548" xr:uid="{00000000-0005-0000-0000-000023020000}"/>
    <cellStyle name="Emphasis 2 2 2" xfId="549" xr:uid="{00000000-0005-0000-0000-000024020000}"/>
    <cellStyle name="Emphasis 2 2 2 2" xfId="550" xr:uid="{00000000-0005-0000-0000-000025020000}"/>
    <cellStyle name="Emphasis 2 3" xfId="551" xr:uid="{00000000-0005-0000-0000-000026020000}"/>
    <cellStyle name="Emphasis 2 4" xfId="552" xr:uid="{00000000-0005-0000-0000-000027020000}"/>
    <cellStyle name="Emphasis 2 5" xfId="553" xr:uid="{00000000-0005-0000-0000-000028020000}"/>
    <cellStyle name="Emphasis 2 6" xfId="554" xr:uid="{00000000-0005-0000-0000-000029020000}"/>
    <cellStyle name="Emphasis 2 7" xfId="555" xr:uid="{00000000-0005-0000-0000-00002A020000}"/>
    <cellStyle name="Emphasis 2 8" xfId="556" xr:uid="{00000000-0005-0000-0000-00002B020000}"/>
    <cellStyle name="Emphasis 2 9" xfId="557" xr:uid="{00000000-0005-0000-0000-00002C020000}"/>
    <cellStyle name="Emphasis 3" xfId="558" xr:uid="{00000000-0005-0000-0000-00002D020000}"/>
    <cellStyle name="Encabezado 1" xfId="1581" builtinId="16" customBuiltin="1"/>
    <cellStyle name="Encabezado 4" xfId="559" builtinId="19" customBuiltin="1"/>
    <cellStyle name="Encabezado 4 2" xfId="560" xr:uid="{00000000-0005-0000-0000-000030020000}"/>
    <cellStyle name="Encabezado 4 2 2" xfId="561" xr:uid="{00000000-0005-0000-0000-000031020000}"/>
    <cellStyle name="Encabezado 4 2 3" xfId="562" xr:uid="{00000000-0005-0000-0000-000032020000}"/>
    <cellStyle name="Encabezado 4 2 4" xfId="563" xr:uid="{00000000-0005-0000-0000-000033020000}"/>
    <cellStyle name="Encabezado 4 2 5" xfId="564" xr:uid="{00000000-0005-0000-0000-000034020000}"/>
    <cellStyle name="Encabezado 4 2 6" xfId="565" xr:uid="{00000000-0005-0000-0000-000035020000}"/>
    <cellStyle name="Encabezado 4 3" xfId="566" xr:uid="{00000000-0005-0000-0000-000036020000}"/>
    <cellStyle name="Encabezado 4 3 2" xfId="567" xr:uid="{00000000-0005-0000-0000-000037020000}"/>
    <cellStyle name="Encabezado 4 3 3" xfId="568" xr:uid="{00000000-0005-0000-0000-000038020000}"/>
    <cellStyle name="Encabezado 4 3 4" xfId="569" xr:uid="{00000000-0005-0000-0000-000039020000}"/>
    <cellStyle name="Encabezado 4 3 5" xfId="570" xr:uid="{00000000-0005-0000-0000-00003A020000}"/>
    <cellStyle name="Encabezado 4 4" xfId="571" xr:uid="{00000000-0005-0000-0000-00003B020000}"/>
    <cellStyle name="Encabezado 4 4 2" xfId="572" xr:uid="{00000000-0005-0000-0000-00003C020000}"/>
    <cellStyle name="Encabezado 4 4 3" xfId="573" xr:uid="{00000000-0005-0000-0000-00003D020000}"/>
    <cellStyle name="Encabezado 4 4 4" xfId="574" xr:uid="{00000000-0005-0000-0000-00003E020000}"/>
    <cellStyle name="Encabezado 4 4 5" xfId="575" xr:uid="{00000000-0005-0000-0000-00003F020000}"/>
    <cellStyle name="Encabezado 4 5" xfId="576" xr:uid="{00000000-0005-0000-0000-000040020000}"/>
    <cellStyle name="Encabezado 4 5 2" xfId="577" xr:uid="{00000000-0005-0000-0000-000041020000}"/>
    <cellStyle name="Encabezado 4 5 3" xfId="578" xr:uid="{00000000-0005-0000-0000-000042020000}"/>
    <cellStyle name="Encabezado 4 5 4" xfId="579" xr:uid="{00000000-0005-0000-0000-000043020000}"/>
    <cellStyle name="Encabezado 4 5 5" xfId="580" xr:uid="{00000000-0005-0000-0000-000044020000}"/>
    <cellStyle name="Encabezado 4 6" xfId="581" xr:uid="{00000000-0005-0000-0000-000045020000}"/>
    <cellStyle name="Encabezado 4 7" xfId="582" xr:uid="{00000000-0005-0000-0000-000046020000}"/>
    <cellStyle name="Encabezado 4 8" xfId="583" xr:uid="{00000000-0005-0000-0000-000047020000}"/>
    <cellStyle name="Encabezado 4 9" xfId="584" xr:uid="{00000000-0005-0000-0000-000048020000}"/>
    <cellStyle name="Énfasis1" xfId="585" builtinId="29" customBuiltin="1"/>
    <cellStyle name="Énfasis1 2" xfId="586" xr:uid="{00000000-0005-0000-0000-00004A020000}"/>
    <cellStyle name="Énfasis1 2 2" xfId="587" xr:uid="{00000000-0005-0000-0000-00004B020000}"/>
    <cellStyle name="Énfasis1 2 3" xfId="588" xr:uid="{00000000-0005-0000-0000-00004C020000}"/>
    <cellStyle name="Énfasis1 2 4" xfId="589" xr:uid="{00000000-0005-0000-0000-00004D020000}"/>
    <cellStyle name="Énfasis1 2 5" xfId="590" xr:uid="{00000000-0005-0000-0000-00004E020000}"/>
    <cellStyle name="Énfasis1 2 6" xfId="591" xr:uid="{00000000-0005-0000-0000-00004F020000}"/>
    <cellStyle name="Énfasis1 3" xfId="592" xr:uid="{00000000-0005-0000-0000-000050020000}"/>
    <cellStyle name="Énfasis1 3 2" xfId="593" xr:uid="{00000000-0005-0000-0000-000051020000}"/>
    <cellStyle name="Énfasis1 3 3" xfId="594" xr:uid="{00000000-0005-0000-0000-000052020000}"/>
    <cellStyle name="Énfasis1 3 4" xfId="595" xr:uid="{00000000-0005-0000-0000-000053020000}"/>
    <cellStyle name="Énfasis1 3 5" xfId="596" xr:uid="{00000000-0005-0000-0000-000054020000}"/>
    <cellStyle name="Énfasis1 4" xfId="597" xr:uid="{00000000-0005-0000-0000-000055020000}"/>
    <cellStyle name="Énfasis1 4 2" xfId="598" xr:uid="{00000000-0005-0000-0000-000056020000}"/>
    <cellStyle name="Énfasis1 4 3" xfId="599" xr:uid="{00000000-0005-0000-0000-000057020000}"/>
    <cellStyle name="Énfasis1 4 4" xfId="600" xr:uid="{00000000-0005-0000-0000-000058020000}"/>
    <cellStyle name="Énfasis1 4 5" xfId="601" xr:uid="{00000000-0005-0000-0000-000059020000}"/>
    <cellStyle name="Énfasis1 5" xfId="602" xr:uid="{00000000-0005-0000-0000-00005A020000}"/>
    <cellStyle name="Énfasis1 5 2" xfId="603" xr:uid="{00000000-0005-0000-0000-00005B020000}"/>
    <cellStyle name="Énfasis1 5 3" xfId="604" xr:uid="{00000000-0005-0000-0000-00005C020000}"/>
    <cellStyle name="Énfasis1 5 4" xfId="605" xr:uid="{00000000-0005-0000-0000-00005D020000}"/>
    <cellStyle name="Énfasis1 5 5" xfId="606" xr:uid="{00000000-0005-0000-0000-00005E020000}"/>
    <cellStyle name="Énfasis1 6" xfId="607" xr:uid="{00000000-0005-0000-0000-00005F020000}"/>
    <cellStyle name="Énfasis1 7" xfId="608" xr:uid="{00000000-0005-0000-0000-000060020000}"/>
    <cellStyle name="Énfasis1 8" xfId="609" xr:uid="{00000000-0005-0000-0000-000061020000}"/>
    <cellStyle name="Énfasis1 9" xfId="610" xr:uid="{00000000-0005-0000-0000-000062020000}"/>
    <cellStyle name="Énfasis2" xfId="611" builtinId="33" customBuiltin="1"/>
    <cellStyle name="Énfasis2 2" xfId="612" xr:uid="{00000000-0005-0000-0000-000064020000}"/>
    <cellStyle name="Énfasis2 2 2" xfId="613" xr:uid="{00000000-0005-0000-0000-000065020000}"/>
    <cellStyle name="Énfasis2 2 3" xfId="614" xr:uid="{00000000-0005-0000-0000-000066020000}"/>
    <cellStyle name="Énfasis2 2 4" xfId="615" xr:uid="{00000000-0005-0000-0000-000067020000}"/>
    <cellStyle name="Énfasis2 2 5" xfId="616" xr:uid="{00000000-0005-0000-0000-000068020000}"/>
    <cellStyle name="Énfasis2 2 6" xfId="617" xr:uid="{00000000-0005-0000-0000-000069020000}"/>
    <cellStyle name="Énfasis2 3" xfId="618" xr:uid="{00000000-0005-0000-0000-00006A020000}"/>
    <cellStyle name="Énfasis2 3 2" xfId="619" xr:uid="{00000000-0005-0000-0000-00006B020000}"/>
    <cellStyle name="Énfasis2 3 3" xfId="620" xr:uid="{00000000-0005-0000-0000-00006C020000}"/>
    <cellStyle name="Énfasis2 3 4" xfId="621" xr:uid="{00000000-0005-0000-0000-00006D020000}"/>
    <cellStyle name="Énfasis2 3 5" xfId="622" xr:uid="{00000000-0005-0000-0000-00006E020000}"/>
    <cellStyle name="Énfasis2 4" xfId="623" xr:uid="{00000000-0005-0000-0000-00006F020000}"/>
    <cellStyle name="Énfasis2 4 2" xfId="624" xr:uid="{00000000-0005-0000-0000-000070020000}"/>
    <cellStyle name="Énfasis2 4 3" xfId="625" xr:uid="{00000000-0005-0000-0000-000071020000}"/>
    <cellStyle name="Énfasis2 4 4" xfId="626" xr:uid="{00000000-0005-0000-0000-000072020000}"/>
    <cellStyle name="Énfasis2 4 5" xfId="627" xr:uid="{00000000-0005-0000-0000-000073020000}"/>
    <cellStyle name="Énfasis2 5" xfId="628" xr:uid="{00000000-0005-0000-0000-000074020000}"/>
    <cellStyle name="Énfasis2 5 2" xfId="629" xr:uid="{00000000-0005-0000-0000-000075020000}"/>
    <cellStyle name="Énfasis2 5 3" xfId="630" xr:uid="{00000000-0005-0000-0000-000076020000}"/>
    <cellStyle name="Énfasis2 5 4" xfId="631" xr:uid="{00000000-0005-0000-0000-000077020000}"/>
    <cellStyle name="Énfasis2 5 5" xfId="632" xr:uid="{00000000-0005-0000-0000-000078020000}"/>
    <cellStyle name="Énfasis2 6" xfId="633" xr:uid="{00000000-0005-0000-0000-000079020000}"/>
    <cellStyle name="Énfasis2 7" xfId="634" xr:uid="{00000000-0005-0000-0000-00007A020000}"/>
    <cellStyle name="Énfasis2 8" xfId="635" xr:uid="{00000000-0005-0000-0000-00007B020000}"/>
    <cellStyle name="Énfasis2 9" xfId="636" xr:uid="{00000000-0005-0000-0000-00007C020000}"/>
    <cellStyle name="Énfasis3" xfId="637" builtinId="37" customBuiltin="1"/>
    <cellStyle name="Énfasis3 2" xfId="638" xr:uid="{00000000-0005-0000-0000-00007E020000}"/>
    <cellStyle name="Énfasis3 2 2" xfId="639" xr:uid="{00000000-0005-0000-0000-00007F020000}"/>
    <cellStyle name="Énfasis3 2 3" xfId="640" xr:uid="{00000000-0005-0000-0000-000080020000}"/>
    <cellStyle name="Énfasis3 2 4" xfId="641" xr:uid="{00000000-0005-0000-0000-000081020000}"/>
    <cellStyle name="Énfasis3 2 5" xfId="642" xr:uid="{00000000-0005-0000-0000-000082020000}"/>
    <cellStyle name="Énfasis3 2 6" xfId="643" xr:uid="{00000000-0005-0000-0000-000083020000}"/>
    <cellStyle name="Énfasis3 3" xfId="644" xr:uid="{00000000-0005-0000-0000-000084020000}"/>
    <cellStyle name="Énfasis3 3 2" xfId="645" xr:uid="{00000000-0005-0000-0000-000085020000}"/>
    <cellStyle name="Énfasis3 3 3" xfId="646" xr:uid="{00000000-0005-0000-0000-000086020000}"/>
    <cellStyle name="Énfasis3 3 4" xfId="647" xr:uid="{00000000-0005-0000-0000-000087020000}"/>
    <cellStyle name="Énfasis3 3 5" xfId="648" xr:uid="{00000000-0005-0000-0000-000088020000}"/>
    <cellStyle name="Énfasis3 4" xfId="649" xr:uid="{00000000-0005-0000-0000-000089020000}"/>
    <cellStyle name="Énfasis3 4 2" xfId="650" xr:uid="{00000000-0005-0000-0000-00008A020000}"/>
    <cellStyle name="Énfasis3 4 3" xfId="651" xr:uid="{00000000-0005-0000-0000-00008B020000}"/>
    <cellStyle name="Énfasis3 4 4" xfId="652" xr:uid="{00000000-0005-0000-0000-00008C020000}"/>
    <cellStyle name="Énfasis3 4 5" xfId="653" xr:uid="{00000000-0005-0000-0000-00008D020000}"/>
    <cellStyle name="Énfasis3 5" xfId="654" xr:uid="{00000000-0005-0000-0000-00008E020000}"/>
    <cellStyle name="Énfasis3 5 2" xfId="655" xr:uid="{00000000-0005-0000-0000-00008F020000}"/>
    <cellStyle name="Énfasis3 5 3" xfId="656" xr:uid="{00000000-0005-0000-0000-000090020000}"/>
    <cellStyle name="Énfasis3 5 4" xfId="657" xr:uid="{00000000-0005-0000-0000-000091020000}"/>
    <cellStyle name="Énfasis3 5 5" xfId="658" xr:uid="{00000000-0005-0000-0000-000092020000}"/>
    <cellStyle name="Énfasis3 6" xfId="659" xr:uid="{00000000-0005-0000-0000-000093020000}"/>
    <cellStyle name="Énfasis3 6 2" xfId="660" xr:uid="{00000000-0005-0000-0000-000094020000}"/>
    <cellStyle name="Énfasis3 7" xfId="661" xr:uid="{00000000-0005-0000-0000-000095020000}"/>
    <cellStyle name="Énfasis3 8" xfId="662" xr:uid="{00000000-0005-0000-0000-000096020000}"/>
    <cellStyle name="Énfasis3 9" xfId="663" xr:uid="{00000000-0005-0000-0000-000097020000}"/>
    <cellStyle name="Énfasis4" xfId="664" builtinId="41" customBuiltin="1"/>
    <cellStyle name="Énfasis4 2" xfId="665" xr:uid="{00000000-0005-0000-0000-000099020000}"/>
    <cellStyle name="Énfasis4 2 2" xfId="666" xr:uid="{00000000-0005-0000-0000-00009A020000}"/>
    <cellStyle name="Énfasis4 2 3" xfId="667" xr:uid="{00000000-0005-0000-0000-00009B020000}"/>
    <cellStyle name="Énfasis4 2 4" xfId="668" xr:uid="{00000000-0005-0000-0000-00009C020000}"/>
    <cellStyle name="Énfasis4 2 5" xfId="669" xr:uid="{00000000-0005-0000-0000-00009D020000}"/>
    <cellStyle name="Énfasis4 2 6" xfId="670" xr:uid="{00000000-0005-0000-0000-00009E020000}"/>
    <cellStyle name="Énfasis4 3" xfId="671" xr:uid="{00000000-0005-0000-0000-00009F020000}"/>
    <cellStyle name="Énfasis4 3 2" xfId="672" xr:uid="{00000000-0005-0000-0000-0000A0020000}"/>
    <cellStyle name="Énfasis4 3 3" xfId="673" xr:uid="{00000000-0005-0000-0000-0000A1020000}"/>
    <cellStyle name="Énfasis4 3 4" xfId="674" xr:uid="{00000000-0005-0000-0000-0000A2020000}"/>
    <cellStyle name="Énfasis4 3 5" xfId="675" xr:uid="{00000000-0005-0000-0000-0000A3020000}"/>
    <cellStyle name="Énfasis4 4" xfId="676" xr:uid="{00000000-0005-0000-0000-0000A4020000}"/>
    <cellStyle name="Énfasis4 4 2" xfId="677" xr:uid="{00000000-0005-0000-0000-0000A5020000}"/>
    <cellStyle name="Énfasis4 4 3" xfId="678" xr:uid="{00000000-0005-0000-0000-0000A6020000}"/>
    <cellStyle name="Énfasis4 4 4" xfId="679" xr:uid="{00000000-0005-0000-0000-0000A7020000}"/>
    <cellStyle name="Énfasis4 4 5" xfId="680" xr:uid="{00000000-0005-0000-0000-0000A8020000}"/>
    <cellStyle name="Énfasis4 5" xfId="681" xr:uid="{00000000-0005-0000-0000-0000A9020000}"/>
    <cellStyle name="Énfasis4 5 2" xfId="682" xr:uid="{00000000-0005-0000-0000-0000AA020000}"/>
    <cellStyle name="Énfasis4 5 3" xfId="683" xr:uid="{00000000-0005-0000-0000-0000AB020000}"/>
    <cellStyle name="Énfasis4 5 4" xfId="684" xr:uid="{00000000-0005-0000-0000-0000AC020000}"/>
    <cellStyle name="Énfasis4 5 5" xfId="685" xr:uid="{00000000-0005-0000-0000-0000AD020000}"/>
    <cellStyle name="Énfasis4 6" xfId="686" xr:uid="{00000000-0005-0000-0000-0000AE020000}"/>
    <cellStyle name="Énfasis4 6 2" xfId="687" xr:uid="{00000000-0005-0000-0000-0000AF020000}"/>
    <cellStyle name="Énfasis4 7" xfId="688" xr:uid="{00000000-0005-0000-0000-0000B0020000}"/>
    <cellStyle name="Énfasis4 8" xfId="689" xr:uid="{00000000-0005-0000-0000-0000B1020000}"/>
    <cellStyle name="Énfasis4 9" xfId="690" xr:uid="{00000000-0005-0000-0000-0000B2020000}"/>
    <cellStyle name="Énfasis5" xfId="691" builtinId="45" customBuiltin="1"/>
    <cellStyle name="Énfasis5 2" xfId="692" xr:uid="{00000000-0005-0000-0000-0000B4020000}"/>
    <cellStyle name="Énfasis5 2 2" xfId="693" xr:uid="{00000000-0005-0000-0000-0000B5020000}"/>
    <cellStyle name="Énfasis5 2 3" xfId="694" xr:uid="{00000000-0005-0000-0000-0000B6020000}"/>
    <cellStyle name="Énfasis5 2 4" xfId="695" xr:uid="{00000000-0005-0000-0000-0000B7020000}"/>
    <cellStyle name="Énfasis5 2 5" xfId="696" xr:uid="{00000000-0005-0000-0000-0000B8020000}"/>
    <cellStyle name="Énfasis5 2 6" xfId="697" xr:uid="{00000000-0005-0000-0000-0000B9020000}"/>
    <cellStyle name="Énfasis5 3" xfId="698" xr:uid="{00000000-0005-0000-0000-0000BA020000}"/>
    <cellStyle name="Énfasis5 3 2" xfId="699" xr:uid="{00000000-0005-0000-0000-0000BB020000}"/>
    <cellStyle name="Énfasis5 3 3" xfId="700" xr:uid="{00000000-0005-0000-0000-0000BC020000}"/>
    <cellStyle name="Énfasis5 3 4" xfId="701" xr:uid="{00000000-0005-0000-0000-0000BD020000}"/>
    <cellStyle name="Énfasis5 3 5" xfId="702" xr:uid="{00000000-0005-0000-0000-0000BE020000}"/>
    <cellStyle name="Énfasis5 4" xfId="703" xr:uid="{00000000-0005-0000-0000-0000BF020000}"/>
    <cellStyle name="Énfasis5 4 2" xfId="704" xr:uid="{00000000-0005-0000-0000-0000C0020000}"/>
    <cellStyle name="Énfasis5 4 3" xfId="705" xr:uid="{00000000-0005-0000-0000-0000C1020000}"/>
    <cellStyle name="Énfasis5 4 4" xfId="706" xr:uid="{00000000-0005-0000-0000-0000C2020000}"/>
    <cellStyle name="Énfasis5 4 5" xfId="707" xr:uid="{00000000-0005-0000-0000-0000C3020000}"/>
    <cellStyle name="Énfasis5 5" xfId="708" xr:uid="{00000000-0005-0000-0000-0000C4020000}"/>
    <cellStyle name="Énfasis5 5 2" xfId="709" xr:uid="{00000000-0005-0000-0000-0000C5020000}"/>
    <cellStyle name="Énfasis5 5 3" xfId="710" xr:uid="{00000000-0005-0000-0000-0000C6020000}"/>
    <cellStyle name="Énfasis5 5 4" xfId="711" xr:uid="{00000000-0005-0000-0000-0000C7020000}"/>
    <cellStyle name="Énfasis5 5 5" xfId="712" xr:uid="{00000000-0005-0000-0000-0000C8020000}"/>
    <cellStyle name="Énfasis5 6" xfId="713" xr:uid="{00000000-0005-0000-0000-0000C9020000}"/>
    <cellStyle name="Énfasis5 6 2" xfId="714" xr:uid="{00000000-0005-0000-0000-0000CA020000}"/>
    <cellStyle name="Énfasis5 7" xfId="715" xr:uid="{00000000-0005-0000-0000-0000CB020000}"/>
    <cellStyle name="Énfasis5 8" xfId="716" xr:uid="{00000000-0005-0000-0000-0000CC020000}"/>
    <cellStyle name="Énfasis5 9" xfId="717" xr:uid="{00000000-0005-0000-0000-0000CD020000}"/>
    <cellStyle name="Énfasis6" xfId="718" builtinId="49" customBuiltin="1"/>
    <cellStyle name="Énfasis6 2" xfId="719" xr:uid="{00000000-0005-0000-0000-0000CF020000}"/>
    <cellStyle name="Énfasis6 2 2" xfId="720" xr:uid="{00000000-0005-0000-0000-0000D0020000}"/>
    <cellStyle name="Énfasis6 2 3" xfId="721" xr:uid="{00000000-0005-0000-0000-0000D1020000}"/>
    <cellStyle name="Énfasis6 2 4" xfId="722" xr:uid="{00000000-0005-0000-0000-0000D2020000}"/>
    <cellStyle name="Énfasis6 2 5" xfId="723" xr:uid="{00000000-0005-0000-0000-0000D3020000}"/>
    <cellStyle name="Énfasis6 2 6" xfId="724" xr:uid="{00000000-0005-0000-0000-0000D4020000}"/>
    <cellStyle name="Énfasis6 3" xfId="725" xr:uid="{00000000-0005-0000-0000-0000D5020000}"/>
    <cellStyle name="Énfasis6 3 2" xfId="726" xr:uid="{00000000-0005-0000-0000-0000D6020000}"/>
    <cellStyle name="Énfasis6 3 3" xfId="727" xr:uid="{00000000-0005-0000-0000-0000D7020000}"/>
    <cellStyle name="Énfasis6 3 4" xfId="728" xr:uid="{00000000-0005-0000-0000-0000D8020000}"/>
    <cellStyle name="Énfasis6 3 5" xfId="729" xr:uid="{00000000-0005-0000-0000-0000D9020000}"/>
    <cellStyle name="Énfasis6 4" xfId="730" xr:uid="{00000000-0005-0000-0000-0000DA020000}"/>
    <cellStyle name="Énfasis6 4 2" xfId="731" xr:uid="{00000000-0005-0000-0000-0000DB020000}"/>
    <cellStyle name="Énfasis6 4 3" xfId="732" xr:uid="{00000000-0005-0000-0000-0000DC020000}"/>
    <cellStyle name="Énfasis6 4 4" xfId="733" xr:uid="{00000000-0005-0000-0000-0000DD020000}"/>
    <cellStyle name="Énfasis6 4 5" xfId="734" xr:uid="{00000000-0005-0000-0000-0000DE020000}"/>
    <cellStyle name="Énfasis6 5" xfId="735" xr:uid="{00000000-0005-0000-0000-0000DF020000}"/>
    <cellStyle name="Énfasis6 5 2" xfId="736" xr:uid="{00000000-0005-0000-0000-0000E0020000}"/>
    <cellStyle name="Énfasis6 5 3" xfId="737" xr:uid="{00000000-0005-0000-0000-0000E1020000}"/>
    <cellStyle name="Énfasis6 5 4" xfId="738" xr:uid="{00000000-0005-0000-0000-0000E2020000}"/>
    <cellStyle name="Énfasis6 5 5" xfId="739" xr:uid="{00000000-0005-0000-0000-0000E3020000}"/>
    <cellStyle name="Énfasis6 6" xfId="740" xr:uid="{00000000-0005-0000-0000-0000E4020000}"/>
    <cellStyle name="Énfasis6 6 2" xfId="741" xr:uid="{00000000-0005-0000-0000-0000E5020000}"/>
    <cellStyle name="Énfasis6 7" xfId="742" xr:uid="{00000000-0005-0000-0000-0000E6020000}"/>
    <cellStyle name="Énfasis6 8" xfId="743" xr:uid="{00000000-0005-0000-0000-0000E7020000}"/>
    <cellStyle name="Énfasis6 9" xfId="744" xr:uid="{00000000-0005-0000-0000-0000E8020000}"/>
    <cellStyle name="Entrada" xfId="745" builtinId="20" customBuiltin="1"/>
    <cellStyle name="Entrada 2" xfId="746" xr:uid="{00000000-0005-0000-0000-0000EA020000}"/>
    <cellStyle name="Entrada 2 2" xfId="747" xr:uid="{00000000-0005-0000-0000-0000EB020000}"/>
    <cellStyle name="Entrada 2 3" xfId="748" xr:uid="{00000000-0005-0000-0000-0000EC020000}"/>
    <cellStyle name="Entrada 2 4" xfId="749" xr:uid="{00000000-0005-0000-0000-0000ED020000}"/>
    <cellStyle name="Entrada 2 5" xfId="750" xr:uid="{00000000-0005-0000-0000-0000EE020000}"/>
    <cellStyle name="Entrada 2 6" xfId="751" xr:uid="{00000000-0005-0000-0000-0000EF020000}"/>
    <cellStyle name="Entrada 3" xfId="752" xr:uid="{00000000-0005-0000-0000-0000F0020000}"/>
    <cellStyle name="Entrada 3 2" xfId="753" xr:uid="{00000000-0005-0000-0000-0000F1020000}"/>
    <cellStyle name="Entrada 3 3" xfId="754" xr:uid="{00000000-0005-0000-0000-0000F2020000}"/>
    <cellStyle name="Entrada 3 4" xfId="755" xr:uid="{00000000-0005-0000-0000-0000F3020000}"/>
    <cellStyle name="Entrada 3 5" xfId="756" xr:uid="{00000000-0005-0000-0000-0000F4020000}"/>
    <cellStyle name="Entrada 4" xfId="757" xr:uid="{00000000-0005-0000-0000-0000F5020000}"/>
    <cellStyle name="Entrada 4 2" xfId="758" xr:uid="{00000000-0005-0000-0000-0000F6020000}"/>
    <cellStyle name="Entrada 4 3" xfId="759" xr:uid="{00000000-0005-0000-0000-0000F7020000}"/>
    <cellStyle name="Entrada 4 4" xfId="760" xr:uid="{00000000-0005-0000-0000-0000F8020000}"/>
    <cellStyle name="Entrada 4 5" xfId="761" xr:uid="{00000000-0005-0000-0000-0000F9020000}"/>
    <cellStyle name="Entrada 5" xfId="762" xr:uid="{00000000-0005-0000-0000-0000FA020000}"/>
    <cellStyle name="Entrada 5 2" xfId="763" xr:uid="{00000000-0005-0000-0000-0000FB020000}"/>
    <cellStyle name="Entrada 5 3" xfId="764" xr:uid="{00000000-0005-0000-0000-0000FC020000}"/>
    <cellStyle name="Entrada 5 4" xfId="765" xr:uid="{00000000-0005-0000-0000-0000FD020000}"/>
    <cellStyle name="Entrada 5 5" xfId="766" xr:uid="{00000000-0005-0000-0000-0000FE020000}"/>
    <cellStyle name="Entrada 6" xfId="767" xr:uid="{00000000-0005-0000-0000-0000FF020000}"/>
    <cellStyle name="Entrada 6 2" xfId="768" xr:uid="{00000000-0005-0000-0000-000000030000}"/>
    <cellStyle name="Entrada 7" xfId="769" xr:uid="{00000000-0005-0000-0000-000001030000}"/>
    <cellStyle name="Entrada 8" xfId="770" xr:uid="{00000000-0005-0000-0000-000002030000}"/>
    <cellStyle name="Entrada 9" xfId="771" xr:uid="{00000000-0005-0000-0000-000003030000}"/>
    <cellStyle name="Euro" xfId="772" xr:uid="{00000000-0005-0000-0000-000004030000}"/>
    <cellStyle name="Explanatory Text" xfId="773" xr:uid="{00000000-0005-0000-0000-000005030000}"/>
    <cellStyle name="Good" xfId="774" xr:uid="{00000000-0005-0000-0000-000006030000}"/>
    <cellStyle name="Good 2" xfId="775" xr:uid="{00000000-0005-0000-0000-000007030000}"/>
    <cellStyle name="Good 3" xfId="776" xr:uid="{00000000-0005-0000-0000-000008030000}"/>
    <cellStyle name="Good 4" xfId="777" xr:uid="{00000000-0005-0000-0000-000009030000}"/>
    <cellStyle name="Good 5" xfId="778" xr:uid="{00000000-0005-0000-0000-00000A030000}"/>
    <cellStyle name="Heading 1" xfId="779" xr:uid="{00000000-0005-0000-0000-00000B030000}"/>
    <cellStyle name="Heading 2" xfId="780" xr:uid="{00000000-0005-0000-0000-00000C030000}"/>
    <cellStyle name="Heading 3" xfId="781" xr:uid="{00000000-0005-0000-0000-00000D030000}"/>
    <cellStyle name="Heading 4" xfId="782" xr:uid="{00000000-0005-0000-0000-00000E030000}"/>
    <cellStyle name="Heading 4 2" xfId="783" xr:uid="{00000000-0005-0000-0000-00000F030000}"/>
    <cellStyle name="Heading 4 3" xfId="784" xr:uid="{00000000-0005-0000-0000-000010030000}"/>
    <cellStyle name="Heading 4 4" xfId="785" xr:uid="{00000000-0005-0000-0000-000011030000}"/>
    <cellStyle name="Heading 4 5" xfId="786" xr:uid="{00000000-0005-0000-0000-000012030000}"/>
    <cellStyle name="Incorrecto" xfId="787" builtinId="27" customBuiltin="1"/>
    <cellStyle name="Incorrecto 2" xfId="788" xr:uid="{00000000-0005-0000-0000-000015030000}"/>
    <cellStyle name="Incorrecto 2 2" xfId="789" xr:uid="{00000000-0005-0000-0000-000016030000}"/>
    <cellStyle name="Incorrecto 2 3" xfId="790" xr:uid="{00000000-0005-0000-0000-000017030000}"/>
    <cellStyle name="Incorrecto 2 4" xfId="791" xr:uid="{00000000-0005-0000-0000-000018030000}"/>
    <cellStyle name="Incorrecto 2 5" xfId="792" xr:uid="{00000000-0005-0000-0000-000019030000}"/>
    <cellStyle name="Incorrecto 2 6" xfId="793" xr:uid="{00000000-0005-0000-0000-00001A030000}"/>
    <cellStyle name="Incorrecto 3" xfId="794" xr:uid="{00000000-0005-0000-0000-00001B030000}"/>
    <cellStyle name="Incorrecto 3 2" xfId="795" xr:uid="{00000000-0005-0000-0000-00001C030000}"/>
    <cellStyle name="Incorrecto 3 3" xfId="796" xr:uid="{00000000-0005-0000-0000-00001D030000}"/>
    <cellStyle name="Incorrecto 3 4" xfId="797" xr:uid="{00000000-0005-0000-0000-00001E030000}"/>
    <cellStyle name="Incorrecto 3 5" xfId="798" xr:uid="{00000000-0005-0000-0000-00001F030000}"/>
    <cellStyle name="Incorrecto 4" xfId="799" xr:uid="{00000000-0005-0000-0000-000020030000}"/>
    <cellStyle name="Incorrecto 4 2" xfId="800" xr:uid="{00000000-0005-0000-0000-000021030000}"/>
    <cellStyle name="Incorrecto 4 3" xfId="801" xr:uid="{00000000-0005-0000-0000-000022030000}"/>
    <cellStyle name="Incorrecto 4 4" xfId="802" xr:uid="{00000000-0005-0000-0000-000023030000}"/>
    <cellStyle name="Incorrecto 4 5" xfId="803" xr:uid="{00000000-0005-0000-0000-000024030000}"/>
    <cellStyle name="Incorrecto 5" xfId="804" xr:uid="{00000000-0005-0000-0000-000025030000}"/>
    <cellStyle name="Incorrecto 5 2" xfId="805" xr:uid="{00000000-0005-0000-0000-000026030000}"/>
    <cellStyle name="Incorrecto 5 3" xfId="806" xr:uid="{00000000-0005-0000-0000-000027030000}"/>
    <cellStyle name="Incorrecto 5 4" xfId="807" xr:uid="{00000000-0005-0000-0000-000028030000}"/>
    <cellStyle name="Incorrecto 5 5" xfId="808" xr:uid="{00000000-0005-0000-0000-000029030000}"/>
    <cellStyle name="Incorrecto 6" xfId="809" xr:uid="{00000000-0005-0000-0000-00002A030000}"/>
    <cellStyle name="Incorrecto 6 2" xfId="810" xr:uid="{00000000-0005-0000-0000-00002B030000}"/>
    <cellStyle name="Incorrecto 7" xfId="811" xr:uid="{00000000-0005-0000-0000-00002C030000}"/>
    <cellStyle name="Incorrecto 8" xfId="812" xr:uid="{00000000-0005-0000-0000-00002D030000}"/>
    <cellStyle name="Incorrecto 9" xfId="813" xr:uid="{00000000-0005-0000-0000-00002E030000}"/>
    <cellStyle name="Input" xfId="814" xr:uid="{00000000-0005-0000-0000-00002F030000}"/>
    <cellStyle name="Input 2" xfId="815" xr:uid="{00000000-0005-0000-0000-000030030000}"/>
    <cellStyle name="Input 3" xfId="816" xr:uid="{00000000-0005-0000-0000-000031030000}"/>
    <cellStyle name="Input 4" xfId="817" xr:uid="{00000000-0005-0000-0000-000032030000}"/>
    <cellStyle name="Input 5" xfId="818" xr:uid="{00000000-0005-0000-0000-000033030000}"/>
    <cellStyle name="Input_valor justo.junio2010" xfId="819" xr:uid="{00000000-0005-0000-0000-000034030000}"/>
    <cellStyle name="Komórka po??czona" xfId="820" xr:uid="{00000000-0005-0000-0000-000035030000}"/>
    <cellStyle name="Komórka połączona" xfId="821" xr:uid="{00000000-0005-0000-0000-000036030000}"/>
    <cellStyle name="Komórka zaznaczona" xfId="822" xr:uid="{00000000-0005-0000-0000-000037030000}"/>
    <cellStyle name="Linked Cell" xfId="823" xr:uid="{00000000-0005-0000-0000-000038030000}"/>
    <cellStyle name="Linked Cell 2" xfId="824" xr:uid="{00000000-0005-0000-0000-000039030000}"/>
    <cellStyle name="Linked Cell 3" xfId="825" xr:uid="{00000000-0005-0000-0000-00003A030000}"/>
    <cellStyle name="Linked Cell 4" xfId="826" xr:uid="{00000000-0005-0000-0000-00003B030000}"/>
    <cellStyle name="Linked Cell 5" xfId="827" xr:uid="{00000000-0005-0000-0000-00003C030000}"/>
    <cellStyle name="Millares" xfId="828" builtinId="3"/>
    <cellStyle name="Millares [0]" xfId="1700" builtinId="6"/>
    <cellStyle name="Millares [0] 2" xfId="1703" xr:uid="{00000000-0005-0000-0000-00003F030000}"/>
    <cellStyle name="Millares [0] 2 2" xfId="829" xr:uid="{00000000-0005-0000-0000-000040030000}"/>
    <cellStyle name="Millares [0] 3" xfId="1704" xr:uid="{4671356E-2AA0-477F-AF3D-47478A780DB7}"/>
    <cellStyle name="Millares 2" xfId="830" xr:uid="{00000000-0005-0000-0000-000041030000}"/>
    <cellStyle name="Millares 3" xfId="831" xr:uid="{00000000-0005-0000-0000-000042030000}"/>
    <cellStyle name="Millares 3 2" xfId="832" xr:uid="{00000000-0005-0000-0000-000043030000}"/>
    <cellStyle name="Millares 4" xfId="833" xr:uid="{00000000-0005-0000-0000-000044030000}"/>
    <cellStyle name="Millares 5" xfId="834" xr:uid="{00000000-0005-0000-0000-000045030000}"/>
    <cellStyle name="Millares 6" xfId="1702" xr:uid="{00000000-0005-0000-0000-000046030000}"/>
    <cellStyle name="Millares 7" xfId="835" xr:uid="{00000000-0005-0000-0000-000047030000}"/>
    <cellStyle name="Millares_Analisis Razonado diciemb 08" xfId="836" xr:uid="{00000000-0005-0000-0000-000048030000}"/>
    <cellStyle name="Moneda [0] 2 2" xfId="837" xr:uid="{00000000-0005-0000-0000-000049030000}"/>
    <cellStyle name="Moneda 2" xfId="838" xr:uid="{00000000-0005-0000-0000-00004A030000}"/>
    <cellStyle name="Moneda 2 2" xfId="839" xr:uid="{00000000-0005-0000-0000-00004B030000}"/>
    <cellStyle name="Moneda 2 3" xfId="840" xr:uid="{00000000-0005-0000-0000-00004C030000}"/>
    <cellStyle name="Nag?ówek 1" xfId="841" xr:uid="{00000000-0005-0000-0000-00004D030000}"/>
    <cellStyle name="Nag?ówek 2" xfId="842" xr:uid="{00000000-0005-0000-0000-00004E030000}"/>
    <cellStyle name="Nag?ówek 3" xfId="843" xr:uid="{00000000-0005-0000-0000-00004F030000}"/>
    <cellStyle name="Nag?ówek 4" xfId="844" xr:uid="{00000000-0005-0000-0000-000050030000}"/>
    <cellStyle name="Nagłówek 1" xfId="845" xr:uid="{00000000-0005-0000-0000-000051030000}"/>
    <cellStyle name="Nagłówek 2" xfId="846" xr:uid="{00000000-0005-0000-0000-000052030000}"/>
    <cellStyle name="Nagłówek 3" xfId="847" xr:uid="{00000000-0005-0000-0000-000053030000}"/>
    <cellStyle name="Nagłówek 4" xfId="848" xr:uid="{00000000-0005-0000-0000-000054030000}"/>
    <cellStyle name="Neutral" xfId="849" builtinId="28" customBuiltin="1"/>
    <cellStyle name="Neutral 2" xfId="850" xr:uid="{00000000-0005-0000-0000-000056030000}"/>
    <cellStyle name="Neutral 2 2" xfId="851" xr:uid="{00000000-0005-0000-0000-000057030000}"/>
    <cellStyle name="Neutral 2 3" xfId="852" xr:uid="{00000000-0005-0000-0000-000058030000}"/>
    <cellStyle name="Neutral 2 4" xfId="853" xr:uid="{00000000-0005-0000-0000-000059030000}"/>
    <cellStyle name="Neutral 2 5" xfId="854" xr:uid="{00000000-0005-0000-0000-00005A030000}"/>
    <cellStyle name="Neutral 2 6" xfId="855" xr:uid="{00000000-0005-0000-0000-00005B030000}"/>
    <cellStyle name="Neutral 3" xfId="856" xr:uid="{00000000-0005-0000-0000-00005C030000}"/>
    <cellStyle name="Neutral 3 2" xfId="857" xr:uid="{00000000-0005-0000-0000-00005D030000}"/>
    <cellStyle name="Neutral 3 3" xfId="858" xr:uid="{00000000-0005-0000-0000-00005E030000}"/>
    <cellStyle name="Neutral 3 4" xfId="859" xr:uid="{00000000-0005-0000-0000-00005F030000}"/>
    <cellStyle name="Neutral 3 5" xfId="860" xr:uid="{00000000-0005-0000-0000-000060030000}"/>
    <cellStyle name="Neutral 4" xfId="861" xr:uid="{00000000-0005-0000-0000-000061030000}"/>
    <cellStyle name="Neutral 4 2" xfId="862" xr:uid="{00000000-0005-0000-0000-000062030000}"/>
    <cellStyle name="Neutral 4 3" xfId="863" xr:uid="{00000000-0005-0000-0000-000063030000}"/>
    <cellStyle name="Neutral 4 4" xfId="864" xr:uid="{00000000-0005-0000-0000-000064030000}"/>
    <cellStyle name="Neutral 4 5" xfId="865" xr:uid="{00000000-0005-0000-0000-000065030000}"/>
    <cellStyle name="Neutral 5" xfId="866" xr:uid="{00000000-0005-0000-0000-000066030000}"/>
    <cellStyle name="Neutral 5 2" xfId="867" xr:uid="{00000000-0005-0000-0000-000067030000}"/>
    <cellStyle name="Neutral 5 3" xfId="868" xr:uid="{00000000-0005-0000-0000-000068030000}"/>
    <cellStyle name="Neutral 5 4" xfId="869" xr:uid="{00000000-0005-0000-0000-000069030000}"/>
    <cellStyle name="Neutral 5 5" xfId="870" xr:uid="{00000000-0005-0000-0000-00006A030000}"/>
    <cellStyle name="Neutral 6" xfId="871" xr:uid="{00000000-0005-0000-0000-00006B030000}"/>
    <cellStyle name="Neutral 6 2" xfId="872" xr:uid="{00000000-0005-0000-0000-00006C030000}"/>
    <cellStyle name="Neutral 7" xfId="873" xr:uid="{00000000-0005-0000-0000-00006D030000}"/>
    <cellStyle name="Neutral 8" xfId="874" xr:uid="{00000000-0005-0000-0000-00006E030000}"/>
    <cellStyle name="Neutral 9" xfId="875" xr:uid="{00000000-0005-0000-0000-00006F030000}"/>
    <cellStyle name="Neutralne" xfId="876" xr:uid="{00000000-0005-0000-0000-000070030000}"/>
    <cellStyle name="Normal" xfId="0" builtinId="0"/>
    <cellStyle name="Normal 10" xfId="877" xr:uid="{00000000-0005-0000-0000-000072030000}"/>
    <cellStyle name="Normal 10 2" xfId="878" xr:uid="{00000000-0005-0000-0000-000073030000}"/>
    <cellStyle name="Normal 11" xfId="879" xr:uid="{00000000-0005-0000-0000-000074030000}"/>
    <cellStyle name="Normal 11 2" xfId="880" xr:uid="{00000000-0005-0000-0000-000075030000}"/>
    <cellStyle name="Normal 12" xfId="881" xr:uid="{00000000-0005-0000-0000-000076030000}"/>
    <cellStyle name="Normal 12 2" xfId="882" xr:uid="{00000000-0005-0000-0000-000077030000}"/>
    <cellStyle name="Normal 13" xfId="883" xr:uid="{00000000-0005-0000-0000-000078030000}"/>
    <cellStyle name="Normal 13 2" xfId="884" xr:uid="{00000000-0005-0000-0000-000079030000}"/>
    <cellStyle name="Normal 14" xfId="885" xr:uid="{00000000-0005-0000-0000-00007A030000}"/>
    <cellStyle name="Normal 15" xfId="886" xr:uid="{00000000-0005-0000-0000-00007B030000}"/>
    <cellStyle name="Normal 15 2" xfId="887" xr:uid="{00000000-0005-0000-0000-00007C030000}"/>
    <cellStyle name="Normal 16" xfId="1698" xr:uid="{00000000-0005-0000-0000-00007D030000}"/>
    <cellStyle name="Normal 17" xfId="888" xr:uid="{00000000-0005-0000-0000-00007E030000}"/>
    <cellStyle name="Normal 18" xfId="1697" xr:uid="{00000000-0005-0000-0000-00007F030000}"/>
    <cellStyle name="Normal 19" xfId="1705" xr:uid="{151AAFA5-4F8C-423E-885A-426303722CFC}"/>
    <cellStyle name="Normal 2" xfId="889" xr:uid="{00000000-0005-0000-0000-000080030000}"/>
    <cellStyle name="Normal 2 10" xfId="890" xr:uid="{00000000-0005-0000-0000-000081030000}"/>
    <cellStyle name="Normal 2 11" xfId="891" xr:uid="{00000000-0005-0000-0000-000082030000}"/>
    <cellStyle name="Normal 2 12" xfId="892" xr:uid="{00000000-0005-0000-0000-000083030000}"/>
    <cellStyle name="Normal 2 13" xfId="1701" xr:uid="{00000000-0005-0000-0000-000084030000}"/>
    <cellStyle name="Normal 2 2" xfId="893" xr:uid="{00000000-0005-0000-0000-000085030000}"/>
    <cellStyle name="Normal 2 2 2" xfId="894" xr:uid="{00000000-0005-0000-0000-000086030000}"/>
    <cellStyle name="Normal 2 3" xfId="895" xr:uid="{00000000-0005-0000-0000-000087030000}"/>
    <cellStyle name="Normal 2 4" xfId="896" xr:uid="{00000000-0005-0000-0000-000088030000}"/>
    <cellStyle name="Normal 2 5" xfId="897" xr:uid="{00000000-0005-0000-0000-000089030000}"/>
    <cellStyle name="Normal 2 6" xfId="898" xr:uid="{00000000-0005-0000-0000-00008A030000}"/>
    <cellStyle name="Normal 2 7" xfId="899" xr:uid="{00000000-0005-0000-0000-00008B030000}"/>
    <cellStyle name="Normal 2 8" xfId="900" xr:uid="{00000000-0005-0000-0000-00008C030000}"/>
    <cellStyle name="Normal 2 9" xfId="901" xr:uid="{00000000-0005-0000-0000-00008D030000}"/>
    <cellStyle name="Normal 2_Combinación de negocios - AA-IAMv3" xfId="902" xr:uid="{00000000-0005-0000-0000-00008E030000}"/>
    <cellStyle name="Normal 3" xfId="903" xr:uid="{00000000-0005-0000-0000-00008F030000}"/>
    <cellStyle name="Normal 3 2" xfId="904" xr:uid="{00000000-0005-0000-0000-000090030000}"/>
    <cellStyle name="Normal 4" xfId="905" xr:uid="{00000000-0005-0000-0000-000091030000}"/>
    <cellStyle name="Normal 5" xfId="906" xr:uid="{00000000-0005-0000-0000-000092030000}"/>
    <cellStyle name="Normal 6" xfId="907" xr:uid="{00000000-0005-0000-0000-000093030000}"/>
    <cellStyle name="Normal 6 2" xfId="908" xr:uid="{00000000-0005-0000-0000-000094030000}"/>
    <cellStyle name="Normal 7" xfId="909" xr:uid="{00000000-0005-0000-0000-000095030000}"/>
    <cellStyle name="Normal 8" xfId="910" xr:uid="{00000000-0005-0000-0000-000096030000}"/>
    <cellStyle name="Normal 9" xfId="911" xr:uid="{00000000-0005-0000-0000-000097030000}"/>
    <cellStyle name="Notas" xfId="912" builtinId="10" customBuiltin="1"/>
    <cellStyle name="Notas 10" xfId="913" xr:uid="{00000000-0005-0000-0000-000099030000}"/>
    <cellStyle name="Notas 2" xfId="914" xr:uid="{00000000-0005-0000-0000-00009A030000}"/>
    <cellStyle name="Notas 2 2" xfId="915" xr:uid="{00000000-0005-0000-0000-00009B030000}"/>
    <cellStyle name="Notas 2 3" xfId="916" xr:uid="{00000000-0005-0000-0000-00009C030000}"/>
    <cellStyle name="Notas 2 4" xfId="917" xr:uid="{00000000-0005-0000-0000-00009D030000}"/>
    <cellStyle name="Notas 2 5" xfId="918" xr:uid="{00000000-0005-0000-0000-00009E030000}"/>
    <cellStyle name="Notas 2 6" xfId="919" xr:uid="{00000000-0005-0000-0000-00009F030000}"/>
    <cellStyle name="Notas 3" xfId="920" xr:uid="{00000000-0005-0000-0000-0000A0030000}"/>
    <cellStyle name="Notas 3 2" xfId="921" xr:uid="{00000000-0005-0000-0000-0000A1030000}"/>
    <cellStyle name="Notas 3 3" xfId="922" xr:uid="{00000000-0005-0000-0000-0000A2030000}"/>
    <cellStyle name="Notas 3 4" xfId="923" xr:uid="{00000000-0005-0000-0000-0000A3030000}"/>
    <cellStyle name="Notas 3 5" xfId="924" xr:uid="{00000000-0005-0000-0000-0000A4030000}"/>
    <cellStyle name="Notas 4" xfId="925" xr:uid="{00000000-0005-0000-0000-0000A5030000}"/>
    <cellStyle name="Notas 4 2" xfId="926" xr:uid="{00000000-0005-0000-0000-0000A6030000}"/>
    <cellStyle name="Notas 4 3" xfId="927" xr:uid="{00000000-0005-0000-0000-0000A7030000}"/>
    <cellStyle name="Notas 4 4" xfId="928" xr:uid="{00000000-0005-0000-0000-0000A8030000}"/>
    <cellStyle name="Notas 4 5" xfId="929" xr:uid="{00000000-0005-0000-0000-0000A9030000}"/>
    <cellStyle name="Notas 5" xfId="930" xr:uid="{00000000-0005-0000-0000-0000AA030000}"/>
    <cellStyle name="Notas 5 2" xfId="931" xr:uid="{00000000-0005-0000-0000-0000AB030000}"/>
    <cellStyle name="Notas 5 3" xfId="932" xr:uid="{00000000-0005-0000-0000-0000AC030000}"/>
    <cellStyle name="Notas 5 4" xfId="933" xr:uid="{00000000-0005-0000-0000-0000AD030000}"/>
    <cellStyle name="Notas 5 5" xfId="934" xr:uid="{00000000-0005-0000-0000-0000AE030000}"/>
    <cellStyle name="Notas 6" xfId="935" xr:uid="{00000000-0005-0000-0000-0000AF030000}"/>
    <cellStyle name="Notas 6 2" xfId="936" xr:uid="{00000000-0005-0000-0000-0000B0030000}"/>
    <cellStyle name="Notas 7" xfId="937" xr:uid="{00000000-0005-0000-0000-0000B1030000}"/>
    <cellStyle name="Notas 8" xfId="938" xr:uid="{00000000-0005-0000-0000-0000B2030000}"/>
    <cellStyle name="Notas 9" xfId="939" xr:uid="{00000000-0005-0000-0000-0000B3030000}"/>
    <cellStyle name="Note" xfId="940" xr:uid="{00000000-0005-0000-0000-0000B4030000}"/>
    <cellStyle name="Note 2" xfId="941" xr:uid="{00000000-0005-0000-0000-0000B5030000}"/>
    <cellStyle name="Note 3" xfId="942" xr:uid="{00000000-0005-0000-0000-0000B6030000}"/>
    <cellStyle name="Note 4" xfId="943" xr:uid="{00000000-0005-0000-0000-0000B7030000}"/>
    <cellStyle name="Note 5" xfId="944" xr:uid="{00000000-0005-0000-0000-0000B8030000}"/>
    <cellStyle name="Note 6" xfId="945" xr:uid="{00000000-0005-0000-0000-0000B9030000}"/>
    <cellStyle name="Note 7" xfId="946" xr:uid="{00000000-0005-0000-0000-0000BA030000}"/>
    <cellStyle name="Note 8" xfId="947" xr:uid="{00000000-0005-0000-0000-0000BB030000}"/>
    <cellStyle name="Obliczenia" xfId="948" xr:uid="{00000000-0005-0000-0000-0000BC030000}"/>
    <cellStyle name="Output" xfId="949" xr:uid="{00000000-0005-0000-0000-0000BD030000}"/>
    <cellStyle name="Porcentaje" xfId="950" builtinId="5"/>
    <cellStyle name="Porcentaje 2" xfId="1699" xr:uid="{00000000-0005-0000-0000-0000BF030000}"/>
    <cellStyle name="Porcentual 10" xfId="951" xr:uid="{00000000-0005-0000-0000-0000C0030000}"/>
    <cellStyle name="Porcentual 10 2" xfId="952" xr:uid="{00000000-0005-0000-0000-0000C1030000}"/>
    <cellStyle name="Porcentual 11" xfId="953" xr:uid="{00000000-0005-0000-0000-0000C2030000}"/>
    <cellStyle name="Porcentual 11 2" xfId="954" xr:uid="{00000000-0005-0000-0000-0000C3030000}"/>
    <cellStyle name="Porcentual 2" xfId="955" xr:uid="{00000000-0005-0000-0000-0000C4030000}"/>
    <cellStyle name="Porcentual 2 2" xfId="956" xr:uid="{00000000-0005-0000-0000-0000C5030000}"/>
    <cellStyle name="Porcentual 3" xfId="957" xr:uid="{00000000-0005-0000-0000-0000C6030000}"/>
    <cellStyle name="Porcentual 4" xfId="958" xr:uid="{00000000-0005-0000-0000-0000C7030000}"/>
    <cellStyle name="Porcentual 4 2" xfId="959" xr:uid="{00000000-0005-0000-0000-0000C8030000}"/>
    <cellStyle name="Porcentual 5" xfId="960" xr:uid="{00000000-0005-0000-0000-0000C9030000}"/>
    <cellStyle name="Porcentual 5 2" xfId="961" xr:uid="{00000000-0005-0000-0000-0000CA030000}"/>
    <cellStyle name="Porcentual 6" xfId="962" xr:uid="{00000000-0005-0000-0000-0000CB030000}"/>
    <cellStyle name="Porcentual 7" xfId="963" xr:uid="{00000000-0005-0000-0000-0000CC030000}"/>
    <cellStyle name="Porcentual 7 2" xfId="964" xr:uid="{00000000-0005-0000-0000-0000CD030000}"/>
    <cellStyle name="Porcentual 8" xfId="965" xr:uid="{00000000-0005-0000-0000-0000CE030000}"/>
    <cellStyle name="Porcentual 8 2" xfId="966" xr:uid="{00000000-0005-0000-0000-0000CF030000}"/>
    <cellStyle name="Porcentual 9" xfId="967" xr:uid="{00000000-0005-0000-0000-0000D0030000}"/>
    <cellStyle name="Salida" xfId="968" builtinId="21" customBuiltin="1"/>
    <cellStyle name="Salida 2" xfId="969" xr:uid="{00000000-0005-0000-0000-0000D2030000}"/>
    <cellStyle name="Salida 2 2" xfId="970" xr:uid="{00000000-0005-0000-0000-0000D3030000}"/>
    <cellStyle name="Salida 2 3" xfId="971" xr:uid="{00000000-0005-0000-0000-0000D4030000}"/>
    <cellStyle name="Salida 2 4" xfId="972" xr:uid="{00000000-0005-0000-0000-0000D5030000}"/>
    <cellStyle name="Salida 2 5" xfId="973" xr:uid="{00000000-0005-0000-0000-0000D6030000}"/>
    <cellStyle name="Salida 2 6" xfId="974" xr:uid="{00000000-0005-0000-0000-0000D7030000}"/>
    <cellStyle name="Salida 3" xfId="975" xr:uid="{00000000-0005-0000-0000-0000D8030000}"/>
    <cellStyle name="Salida 3 2" xfId="976" xr:uid="{00000000-0005-0000-0000-0000D9030000}"/>
    <cellStyle name="Salida 3 3" xfId="977" xr:uid="{00000000-0005-0000-0000-0000DA030000}"/>
    <cellStyle name="Salida 3 4" xfId="978" xr:uid="{00000000-0005-0000-0000-0000DB030000}"/>
    <cellStyle name="Salida 3 5" xfId="979" xr:uid="{00000000-0005-0000-0000-0000DC030000}"/>
    <cellStyle name="Salida 4" xfId="980" xr:uid="{00000000-0005-0000-0000-0000DD030000}"/>
    <cellStyle name="Salida 4 2" xfId="981" xr:uid="{00000000-0005-0000-0000-0000DE030000}"/>
    <cellStyle name="Salida 4 3" xfId="982" xr:uid="{00000000-0005-0000-0000-0000DF030000}"/>
    <cellStyle name="Salida 4 4" xfId="983" xr:uid="{00000000-0005-0000-0000-0000E0030000}"/>
    <cellStyle name="Salida 4 5" xfId="984" xr:uid="{00000000-0005-0000-0000-0000E1030000}"/>
    <cellStyle name="Salida 5" xfId="985" xr:uid="{00000000-0005-0000-0000-0000E2030000}"/>
    <cellStyle name="Salida 5 2" xfId="986" xr:uid="{00000000-0005-0000-0000-0000E3030000}"/>
    <cellStyle name="Salida 5 3" xfId="987" xr:uid="{00000000-0005-0000-0000-0000E4030000}"/>
    <cellStyle name="Salida 5 4" xfId="988" xr:uid="{00000000-0005-0000-0000-0000E5030000}"/>
    <cellStyle name="Salida 5 5" xfId="989" xr:uid="{00000000-0005-0000-0000-0000E6030000}"/>
    <cellStyle name="Salida 6" xfId="990" xr:uid="{00000000-0005-0000-0000-0000E7030000}"/>
    <cellStyle name="Salida 6 2" xfId="991" xr:uid="{00000000-0005-0000-0000-0000E8030000}"/>
    <cellStyle name="Salida 7" xfId="992" xr:uid="{00000000-0005-0000-0000-0000E9030000}"/>
    <cellStyle name="Salida 8" xfId="993" xr:uid="{00000000-0005-0000-0000-0000EA030000}"/>
    <cellStyle name="Salida 9" xfId="994" xr:uid="{00000000-0005-0000-0000-0000EB030000}"/>
    <cellStyle name="SAPBEXaggData" xfId="995" xr:uid="{00000000-0005-0000-0000-0000EC030000}"/>
    <cellStyle name="SAPBEXaggData 10" xfId="996" xr:uid="{00000000-0005-0000-0000-0000ED030000}"/>
    <cellStyle name="SAPBEXaggData 11" xfId="997" xr:uid="{00000000-0005-0000-0000-0000EE030000}"/>
    <cellStyle name="SAPBEXaggData 2" xfId="998" xr:uid="{00000000-0005-0000-0000-0000EF030000}"/>
    <cellStyle name="SAPBEXaggData 2 2" xfId="999" xr:uid="{00000000-0005-0000-0000-0000F0030000}"/>
    <cellStyle name="SAPBEXaggData 2 2 2" xfId="1000" xr:uid="{00000000-0005-0000-0000-0000F1030000}"/>
    <cellStyle name="SAPBEXaggData 3" xfId="1001" xr:uid="{00000000-0005-0000-0000-0000F2030000}"/>
    <cellStyle name="SAPBEXaggData 4" xfId="1002" xr:uid="{00000000-0005-0000-0000-0000F3030000}"/>
    <cellStyle name="SAPBEXaggData 5" xfId="1003" xr:uid="{00000000-0005-0000-0000-0000F4030000}"/>
    <cellStyle name="SAPBEXaggData 6" xfId="1004" xr:uid="{00000000-0005-0000-0000-0000F5030000}"/>
    <cellStyle name="SAPBEXaggData 7" xfId="1005" xr:uid="{00000000-0005-0000-0000-0000F6030000}"/>
    <cellStyle name="SAPBEXaggData 8" xfId="1006" xr:uid="{00000000-0005-0000-0000-0000F7030000}"/>
    <cellStyle name="SAPBEXaggData 9" xfId="1007" xr:uid="{00000000-0005-0000-0000-0000F8030000}"/>
    <cellStyle name="SAPBEXaggData_gxaccion, 68" xfId="1008" xr:uid="{00000000-0005-0000-0000-0000F9030000}"/>
    <cellStyle name="SAPBEXaggDataEmph" xfId="1009" xr:uid="{00000000-0005-0000-0000-0000FA030000}"/>
    <cellStyle name="SAPBEXaggDataEmph 10" xfId="1010" xr:uid="{00000000-0005-0000-0000-0000FB030000}"/>
    <cellStyle name="SAPBEXaggDataEmph 11" xfId="1011" xr:uid="{00000000-0005-0000-0000-0000FC030000}"/>
    <cellStyle name="SAPBEXaggDataEmph 2" xfId="1012" xr:uid="{00000000-0005-0000-0000-0000FD030000}"/>
    <cellStyle name="SAPBEXaggDataEmph 2 2" xfId="1013" xr:uid="{00000000-0005-0000-0000-0000FE030000}"/>
    <cellStyle name="SAPBEXaggDataEmph 2 2 2" xfId="1014" xr:uid="{00000000-0005-0000-0000-0000FF030000}"/>
    <cellStyle name="SAPBEXaggDataEmph 3" xfId="1015" xr:uid="{00000000-0005-0000-0000-000000040000}"/>
    <cellStyle name="SAPBEXaggDataEmph 4" xfId="1016" xr:uid="{00000000-0005-0000-0000-000001040000}"/>
    <cellStyle name="SAPBEXaggDataEmph 5" xfId="1017" xr:uid="{00000000-0005-0000-0000-000002040000}"/>
    <cellStyle name="SAPBEXaggDataEmph 6" xfId="1018" xr:uid="{00000000-0005-0000-0000-000003040000}"/>
    <cellStyle name="SAPBEXaggDataEmph 7" xfId="1019" xr:uid="{00000000-0005-0000-0000-000004040000}"/>
    <cellStyle name="SAPBEXaggDataEmph 8" xfId="1020" xr:uid="{00000000-0005-0000-0000-000005040000}"/>
    <cellStyle name="SAPBEXaggDataEmph 9" xfId="1021" xr:uid="{00000000-0005-0000-0000-000006040000}"/>
    <cellStyle name="SAPBEXaggDataEmph_valor justo.junio2010" xfId="1022" xr:uid="{00000000-0005-0000-0000-000007040000}"/>
    <cellStyle name="SAPBEXaggItem" xfId="1023" xr:uid="{00000000-0005-0000-0000-000008040000}"/>
    <cellStyle name="SAPBEXaggItem 10" xfId="1024" xr:uid="{00000000-0005-0000-0000-000009040000}"/>
    <cellStyle name="SAPBEXaggItem 11" xfId="1025" xr:uid="{00000000-0005-0000-0000-00000A040000}"/>
    <cellStyle name="SAPBEXaggItem 2" xfId="1026" xr:uid="{00000000-0005-0000-0000-00000B040000}"/>
    <cellStyle name="SAPBEXaggItem 2 2" xfId="1027" xr:uid="{00000000-0005-0000-0000-00000C040000}"/>
    <cellStyle name="SAPBEXaggItem 2 2 2" xfId="1028" xr:uid="{00000000-0005-0000-0000-00000D040000}"/>
    <cellStyle name="SAPBEXaggItem 3" xfId="1029" xr:uid="{00000000-0005-0000-0000-00000E040000}"/>
    <cellStyle name="SAPBEXaggItem 4" xfId="1030" xr:uid="{00000000-0005-0000-0000-00000F040000}"/>
    <cellStyle name="SAPBEXaggItem 5" xfId="1031" xr:uid="{00000000-0005-0000-0000-000010040000}"/>
    <cellStyle name="SAPBEXaggItem 6" xfId="1032" xr:uid="{00000000-0005-0000-0000-000011040000}"/>
    <cellStyle name="SAPBEXaggItem 7" xfId="1033" xr:uid="{00000000-0005-0000-0000-000012040000}"/>
    <cellStyle name="SAPBEXaggItem 8" xfId="1034" xr:uid="{00000000-0005-0000-0000-000013040000}"/>
    <cellStyle name="SAPBEXaggItem 9" xfId="1035" xr:uid="{00000000-0005-0000-0000-000014040000}"/>
    <cellStyle name="SAPBEXaggItem_gxaccion, 68" xfId="1036" xr:uid="{00000000-0005-0000-0000-000015040000}"/>
    <cellStyle name="SAPBEXaggItemX" xfId="1037" xr:uid="{00000000-0005-0000-0000-000016040000}"/>
    <cellStyle name="SAPBEXaggItemX 10" xfId="1038" xr:uid="{00000000-0005-0000-0000-000017040000}"/>
    <cellStyle name="SAPBEXaggItemX 11" xfId="1039" xr:uid="{00000000-0005-0000-0000-000018040000}"/>
    <cellStyle name="SAPBEXaggItemX 2" xfId="1040" xr:uid="{00000000-0005-0000-0000-000019040000}"/>
    <cellStyle name="SAPBEXaggItemX 2 2" xfId="1041" xr:uid="{00000000-0005-0000-0000-00001A040000}"/>
    <cellStyle name="SAPBEXaggItemX 2 2 2" xfId="1042" xr:uid="{00000000-0005-0000-0000-00001B040000}"/>
    <cellStyle name="SAPBEXaggItemX 3" xfId="1043" xr:uid="{00000000-0005-0000-0000-00001C040000}"/>
    <cellStyle name="SAPBEXaggItemX 4" xfId="1044" xr:uid="{00000000-0005-0000-0000-00001D040000}"/>
    <cellStyle name="SAPBEXaggItemX 5" xfId="1045" xr:uid="{00000000-0005-0000-0000-00001E040000}"/>
    <cellStyle name="SAPBEXaggItemX 6" xfId="1046" xr:uid="{00000000-0005-0000-0000-00001F040000}"/>
    <cellStyle name="SAPBEXaggItemX 7" xfId="1047" xr:uid="{00000000-0005-0000-0000-000020040000}"/>
    <cellStyle name="SAPBEXaggItemX 8" xfId="1048" xr:uid="{00000000-0005-0000-0000-000021040000}"/>
    <cellStyle name="SAPBEXaggItemX 9" xfId="1049" xr:uid="{00000000-0005-0000-0000-000022040000}"/>
    <cellStyle name="SAPBEXaggItemX_valor justo.junio2010" xfId="1050" xr:uid="{00000000-0005-0000-0000-000023040000}"/>
    <cellStyle name="SAPBEXchaText" xfId="1051" xr:uid="{00000000-0005-0000-0000-000024040000}"/>
    <cellStyle name="SAPBEXchaText 10" xfId="1052" xr:uid="{00000000-0005-0000-0000-000025040000}"/>
    <cellStyle name="SAPBEXchaText 11" xfId="1053" xr:uid="{00000000-0005-0000-0000-000026040000}"/>
    <cellStyle name="SAPBEXchaText 2" xfId="1054" xr:uid="{00000000-0005-0000-0000-000027040000}"/>
    <cellStyle name="SAPBEXchaText 2 2" xfId="1055" xr:uid="{00000000-0005-0000-0000-000028040000}"/>
    <cellStyle name="SAPBEXchaText 2 2 2" xfId="1056" xr:uid="{00000000-0005-0000-0000-000029040000}"/>
    <cellStyle name="SAPBEXchaText 3" xfId="1057" xr:uid="{00000000-0005-0000-0000-00002A040000}"/>
    <cellStyle name="SAPBEXchaText 4" xfId="1058" xr:uid="{00000000-0005-0000-0000-00002B040000}"/>
    <cellStyle name="SAPBEXchaText 5" xfId="1059" xr:uid="{00000000-0005-0000-0000-00002C040000}"/>
    <cellStyle name="SAPBEXchaText 6" xfId="1060" xr:uid="{00000000-0005-0000-0000-00002D040000}"/>
    <cellStyle name="SAPBEXchaText 7" xfId="1061" xr:uid="{00000000-0005-0000-0000-00002E040000}"/>
    <cellStyle name="SAPBEXchaText 8" xfId="1062" xr:uid="{00000000-0005-0000-0000-00002F040000}"/>
    <cellStyle name="SAPBEXchaText 9" xfId="1063" xr:uid="{00000000-0005-0000-0000-000030040000}"/>
    <cellStyle name="SAPBEXchaText_gxaccion, 68" xfId="1064" xr:uid="{00000000-0005-0000-0000-000031040000}"/>
    <cellStyle name="SAPBEXexcBad7" xfId="1065" xr:uid="{00000000-0005-0000-0000-000032040000}"/>
    <cellStyle name="SAPBEXexcBad7 10" xfId="1066" xr:uid="{00000000-0005-0000-0000-000033040000}"/>
    <cellStyle name="SAPBEXexcBad7 11" xfId="1067" xr:uid="{00000000-0005-0000-0000-000034040000}"/>
    <cellStyle name="SAPBEXexcBad7 2" xfId="1068" xr:uid="{00000000-0005-0000-0000-000035040000}"/>
    <cellStyle name="SAPBEXexcBad7 2 2" xfId="1069" xr:uid="{00000000-0005-0000-0000-000036040000}"/>
    <cellStyle name="SAPBEXexcBad7 2 2 2" xfId="1070" xr:uid="{00000000-0005-0000-0000-000037040000}"/>
    <cellStyle name="SAPBEXexcBad7 3" xfId="1071" xr:uid="{00000000-0005-0000-0000-000038040000}"/>
    <cellStyle name="SAPBEXexcBad7 4" xfId="1072" xr:uid="{00000000-0005-0000-0000-000039040000}"/>
    <cellStyle name="SAPBEXexcBad7 5" xfId="1073" xr:uid="{00000000-0005-0000-0000-00003A040000}"/>
    <cellStyle name="SAPBEXexcBad7 6" xfId="1074" xr:uid="{00000000-0005-0000-0000-00003B040000}"/>
    <cellStyle name="SAPBEXexcBad7 7" xfId="1075" xr:uid="{00000000-0005-0000-0000-00003C040000}"/>
    <cellStyle name="SAPBEXexcBad7 8" xfId="1076" xr:uid="{00000000-0005-0000-0000-00003D040000}"/>
    <cellStyle name="SAPBEXexcBad7 9" xfId="1077" xr:uid="{00000000-0005-0000-0000-00003E040000}"/>
    <cellStyle name="SAPBEXexcBad7_gxaccion, 68" xfId="1078" xr:uid="{00000000-0005-0000-0000-00003F040000}"/>
    <cellStyle name="SAPBEXexcBad8" xfId="1079" xr:uid="{00000000-0005-0000-0000-000040040000}"/>
    <cellStyle name="SAPBEXexcBad8 10" xfId="1080" xr:uid="{00000000-0005-0000-0000-000041040000}"/>
    <cellStyle name="SAPBEXexcBad8 11" xfId="1081" xr:uid="{00000000-0005-0000-0000-000042040000}"/>
    <cellStyle name="SAPBEXexcBad8 2" xfId="1082" xr:uid="{00000000-0005-0000-0000-000043040000}"/>
    <cellStyle name="SAPBEXexcBad8 2 2" xfId="1083" xr:uid="{00000000-0005-0000-0000-000044040000}"/>
    <cellStyle name="SAPBEXexcBad8 2 2 2" xfId="1084" xr:uid="{00000000-0005-0000-0000-000045040000}"/>
    <cellStyle name="SAPBEXexcBad8 3" xfId="1085" xr:uid="{00000000-0005-0000-0000-000046040000}"/>
    <cellStyle name="SAPBEXexcBad8 4" xfId="1086" xr:uid="{00000000-0005-0000-0000-000047040000}"/>
    <cellStyle name="SAPBEXexcBad8 5" xfId="1087" xr:uid="{00000000-0005-0000-0000-000048040000}"/>
    <cellStyle name="SAPBEXexcBad8 6" xfId="1088" xr:uid="{00000000-0005-0000-0000-000049040000}"/>
    <cellStyle name="SAPBEXexcBad8 7" xfId="1089" xr:uid="{00000000-0005-0000-0000-00004A040000}"/>
    <cellStyle name="SAPBEXexcBad8 8" xfId="1090" xr:uid="{00000000-0005-0000-0000-00004B040000}"/>
    <cellStyle name="SAPBEXexcBad8 9" xfId="1091" xr:uid="{00000000-0005-0000-0000-00004C040000}"/>
    <cellStyle name="SAPBEXexcBad8_gxaccion, 68" xfId="1092" xr:uid="{00000000-0005-0000-0000-00004D040000}"/>
    <cellStyle name="SAPBEXexcBad9" xfId="1093" xr:uid="{00000000-0005-0000-0000-00004E040000}"/>
    <cellStyle name="SAPBEXexcBad9 10" xfId="1094" xr:uid="{00000000-0005-0000-0000-00004F040000}"/>
    <cellStyle name="SAPBEXexcBad9 11" xfId="1095" xr:uid="{00000000-0005-0000-0000-000050040000}"/>
    <cellStyle name="SAPBEXexcBad9 2" xfId="1096" xr:uid="{00000000-0005-0000-0000-000051040000}"/>
    <cellStyle name="SAPBEXexcBad9 2 2" xfId="1097" xr:uid="{00000000-0005-0000-0000-000052040000}"/>
    <cellStyle name="SAPBEXexcBad9 2 2 2" xfId="1098" xr:uid="{00000000-0005-0000-0000-000053040000}"/>
    <cellStyle name="SAPBEXexcBad9 3" xfId="1099" xr:uid="{00000000-0005-0000-0000-000054040000}"/>
    <cellStyle name="SAPBEXexcBad9 4" xfId="1100" xr:uid="{00000000-0005-0000-0000-000055040000}"/>
    <cellStyle name="SAPBEXexcBad9 5" xfId="1101" xr:uid="{00000000-0005-0000-0000-000056040000}"/>
    <cellStyle name="SAPBEXexcBad9 6" xfId="1102" xr:uid="{00000000-0005-0000-0000-000057040000}"/>
    <cellStyle name="SAPBEXexcBad9 7" xfId="1103" xr:uid="{00000000-0005-0000-0000-000058040000}"/>
    <cellStyle name="SAPBEXexcBad9 8" xfId="1104" xr:uid="{00000000-0005-0000-0000-000059040000}"/>
    <cellStyle name="SAPBEXexcBad9 9" xfId="1105" xr:uid="{00000000-0005-0000-0000-00005A040000}"/>
    <cellStyle name="SAPBEXexcBad9_gxaccion, 68" xfId="1106" xr:uid="{00000000-0005-0000-0000-00005B040000}"/>
    <cellStyle name="SAPBEXexcCritical4" xfId="1107" xr:uid="{00000000-0005-0000-0000-00005C040000}"/>
    <cellStyle name="SAPBEXexcCritical4 10" xfId="1108" xr:uid="{00000000-0005-0000-0000-00005D040000}"/>
    <cellStyle name="SAPBEXexcCritical4 11" xfId="1109" xr:uid="{00000000-0005-0000-0000-00005E040000}"/>
    <cellStyle name="SAPBEXexcCritical4 2" xfId="1110" xr:uid="{00000000-0005-0000-0000-00005F040000}"/>
    <cellStyle name="SAPBEXexcCritical4 2 2" xfId="1111" xr:uid="{00000000-0005-0000-0000-000060040000}"/>
    <cellStyle name="SAPBEXexcCritical4 2 2 2" xfId="1112" xr:uid="{00000000-0005-0000-0000-000061040000}"/>
    <cellStyle name="SAPBEXexcCritical4 3" xfId="1113" xr:uid="{00000000-0005-0000-0000-000062040000}"/>
    <cellStyle name="SAPBEXexcCritical4 4" xfId="1114" xr:uid="{00000000-0005-0000-0000-000063040000}"/>
    <cellStyle name="SAPBEXexcCritical4 5" xfId="1115" xr:uid="{00000000-0005-0000-0000-000064040000}"/>
    <cellStyle name="SAPBEXexcCritical4 6" xfId="1116" xr:uid="{00000000-0005-0000-0000-000065040000}"/>
    <cellStyle name="SAPBEXexcCritical4 7" xfId="1117" xr:uid="{00000000-0005-0000-0000-000066040000}"/>
    <cellStyle name="SAPBEXexcCritical4 8" xfId="1118" xr:uid="{00000000-0005-0000-0000-000067040000}"/>
    <cellStyle name="SAPBEXexcCritical4 9" xfId="1119" xr:uid="{00000000-0005-0000-0000-000068040000}"/>
    <cellStyle name="SAPBEXexcCritical4_gxaccion, 68" xfId="1120" xr:uid="{00000000-0005-0000-0000-000069040000}"/>
    <cellStyle name="SAPBEXexcCritical5" xfId="1121" xr:uid="{00000000-0005-0000-0000-00006A040000}"/>
    <cellStyle name="SAPBEXexcCritical5 10" xfId="1122" xr:uid="{00000000-0005-0000-0000-00006B040000}"/>
    <cellStyle name="SAPBEXexcCritical5 11" xfId="1123" xr:uid="{00000000-0005-0000-0000-00006C040000}"/>
    <cellStyle name="SAPBEXexcCritical5 2" xfId="1124" xr:uid="{00000000-0005-0000-0000-00006D040000}"/>
    <cellStyle name="SAPBEXexcCritical5 2 2" xfId="1125" xr:uid="{00000000-0005-0000-0000-00006E040000}"/>
    <cellStyle name="SAPBEXexcCritical5 2 2 2" xfId="1126" xr:uid="{00000000-0005-0000-0000-00006F040000}"/>
    <cellStyle name="SAPBEXexcCritical5 3" xfId="1127" xr:uid="{00000000-0005-0000-0000-000070040000}"/>
    <cellStyle name="SAPBEXexcCritical5 4" xfId="1128" xr:uid="{00000000-0005-0000-0000-000071040000}"/>
    <cellStyle name="SAPBEXexcCritical5 5" xfId="1129" xr:uid="{00000000-0005-0000-0000-000072040000}"/>
    <cellStyle name="SAPBEXexcCritical5 6" xfId="1130" xr:uid="{00000000-0005-0000-0000-000073040000}"/>
    <cellStyle name="SAPBEXexcCritical5 7" xfId="1131" xr:uid="{00000000-0005-0000-0000-000074040000}"/>
    <cellStyle name="SAPBEXexcCritical5 8" xfId="1132" xr:uid="{00000000-0005-0000-0000-000075040000}"/>
    <cellStyle name="SAPBEXexcCritical5 9" xfId="1133" xr:uid="{00000000-0005-0000-0000-000076040000}"/>
    <cellStyle name="SAPBEXexcCritical5_gxaccion, 68" xfId="1134" xr:uid="{00000000-0005-0000-0000-000077040000}"/>
    <cellStyle name="SAPBEXexcCritical6" xfId="1135" xr:uid="{00000000-0005-0000-0000-000078040000}"/>
    <cellStyle name="SAPBEXexcCritical6 10" xfId="1136" xr:uid="{00000000-0005-0000-0000-000079040000}"/>
    <cellStyle name="SAPBEXexcCritical6 11" xfId="1137" xr:uid="{00000000-0005-0000-0000-00007A040000}"/>
    <cellStyle name="SAPBEXexcCritical6 2" xfId="1138" xr:uid="{00000000-0005-0000-0000-00007B040000}"/>
    <cellStyle name="SAPBEXexcCritical6 2 2" xfId="1139" xr:uid="{00000000-0005-0000-0000-00007C040000}"/>
    <cellStyle name="SAPBEXexcCritical6 2 2 2" xfId="1140" xr:uid="{00000000-0005-0000-0000-00007D040000}"/>
    <cellStyle name="SAPBEXexcCritical6 3" xfId="1141" xr:uid="{00000000-0005-0000-0000-00007E040000}"/>
    <cellStyle name="SAPBEXexcCritical6 4" xfId="1142" xr:uid="{00000000-0005-0000-0000-00007F040000}"/>
    <cellStyle name="SAPBEXexcCritical6 5" xfId="1143" xr:uid="{00000000-0005-0000-0000-000080040000}"/>
    <cellStyle name="SAPBEXexcCritical6 6" xfId="1144" xr:uid="{00000000-0005-0000-0000-000081040000}"/>
    <cellStyle name="SAPBEXexcCritical6 7" xfId="1145" xr:uid="{00000000-0005-0000-0000-000082040000}"/>
    <cellStyle name="SAPBEXexcCritical6 8" xfId="1146" xr:uid="{00000000-0005-0000-0000-000083040000}"/>
    <cellStyle name="SAPBEXexcCritical6 9" xfId="1147" xr:uid="{00000000-0005-0000-0000-000084040000}"/>
    <cellStyle name="SAPBEXexcCritical6_gxaccion, 68" xfId="1148" xr:uid="{00000000-0005-0000-0000-000085040000}"/>
    <cellStyle name="SAPBEXexcGood1" xfId="1149" xr:uid="{00000000-0005-0000-0000-000086040000}"/>
    <cellStyle name="SAPBEXexcGood1 10" xfId="1150" xr:uid="{00000000-0005-0000-0000-000087040000}"/>
    <cellStyle name="SAPBEXexcGood1 11" xfId="1151" xr:uid="{00000000-0005-0000-0000-000088040000}"/>
    <cellStyle name="SAPBEXexcGood1 2" xfId="1152" xr:uid="{00000000-0005-0000-0000-000089040000}"/>
    <cellStyle name="SAPBEXexcGood1 2 2" xfId="1153" xr:uid="{00000000-0005-0000-0000-00008A040000}"/>
    <cellStyle name="SAPBEXexcGood1 2 2 2" xfId="1154" xr:uid="{00000000-0005-0000-0000-00008B040000}"/>
    <cellStyle name="SAPBEXexcGood1 3" xfId="1155" xr:uid="{00000000-0005-0000-0000-00008C040000}"/>
    <cellStyle name="SAPBEXexcGood1 4" xfId="1156" xr:uid="{00000000-0005-0000-0000-00008D040000}"/>
    <cellStyle name="SAPBEXexcGood1 5" xfId="1157" xr:uid="{00000000-0005-0000-0000-00008E040000}"/>
    <cellStyle name="SAPBEXexcGood1 6" xfId="1158" xr:uid="{00000000-0005-0000-0000-00008F040000}"/>
    <cellStyle name="SAPBEXexcGood1 7" xfId="1159" xr:uid="{00000000-0005-0000-0000-000090040000}"/>
    <cellStyle name="SAPBEXexcGood1 8" xfId="1160" xr:uid="{00000000-0005-0000-0000-000091040000}"/>
    <cellStyle name="SAPBEXexcGood1 9" xfId="1161" xr:uid="{00000000-0005-0000-0000-000092040000}"/>
    <cellStyle name="SAPBEXexcGood1_gxaccion, 68" xfId="1162" xr:uid="{00000000-0005-0000-0000-000093040000}"/>
    <cellStyle name="SAPBEXexcGood2" xfId="1163" xr:uid="{00000000-0005-0000-0000-000094040000}"/>
    <cellStyle name="SAPBEXexcGood2 10" xfId="1164" xr:uid="{00000000-0005-0000-0000-000095040000}"/>
    <cellStyle name="SAPBEXexcGood2 11" xfId="1165" xr:uid="{00000000-0005-0000-0000-000096040000}"/>
    <cellStyle name="SAPBEXexcGood2 2" xfId="1166" xr:uid="{00000000-0005-0000-0000-000097040000}"/>
    <cellStyle name="SAPBEXexcGood2 2 2" xfId="1167" xr:uid="{00000000-0005-0000-0000-000098040000}"/>
    <cellStyle name="SAPBEXexcGood2 2 2 2" xfId="1168" xr:uid="{00000000-0005-0000-0000-000099040000}"/>
    <cellStyle name="SAPBEXexcGood2 3" xfId="1169" xr:uid="{00000000-0005-0000-0000-00009A040000}"/>
    <cellStyle name="SAPBEXexcGood2 4" xfId="1170" xr:uid="{00000000-0005-0000-0000-00009B040000}"/>
    <cellStyle name="SAPBEXexcGood2 5" xfId="1171" xr:uid="{00000000-0005-0000-0000-00009C040000}"/>
    <cellStyle name="SAPBEXexcGood2 6" xfId="1172" xr:uid="{00000000-0005-0000-0000-00009D040000}"/>
    <cellStyle name="SAPBEXexcGood2 7" xfId="1173" xr:uid="{00000000-0005-0000-0000-00009E040000}"/>
    <cellStyle name="SAPBEXexcGood2 8" xfId="1174" xr:uid="{00000000-0005-0000-0000-00009F040000}"/>
    <cellStyle name="SAPBEXexcGood2 9" xfId="1175" xr:uid="{00000000-0005-0000-0000-0000A0040000}"/>
    <cellStyle name="SAPBEXexcGood2_gxaccion, 68" xfId="1176" xr:uid="{00000000-0005-0000-0000-0000A1040000}"/>
    <cellStyle name="SAPBEXexcGood3" xfId="1177" xr:uid="{00000000-0005-0000-0000-0000A2040000}"/>
    <cellStyle name="SAPBEXexcGood3 10" xfId="1178" xr:uid="{00000000-0005-0000-0000-0000A3040000}"/>
    <cellStyle name="SAPBEXexcGood3 11" xfId="1179" xr:uid="{00000000-0005-0000-0000-0000A4040000}"/>
    <cellStyle name="SAPBEXexcGood3 2" xfId="1180" xr:uid="{00000000-0005-0000-0000-0000A5040000}"/>
    <cellStyle name="SAPBEXexcGood3 2 2" xfId="1181" xr:uid="{00000000-0005-0000-0000-0000A6040000}"/>
    <cellStyle name="SAPBEXexcGood3 2 2 2" xfId="1182" xr:uid="{00000000-0005-0000-0000-0000A7040000}"/>
    <cellStyle name="SAPBEXexcGood3 3" xfId="1183" xr:uid="{00000000-0005-0000-0000-0000A8040000}"/>
    <cellStyle name="SAPBEXexcGood3 4" xfId="1184" xr:uid="{00000000-0005-0000-0000-0000A9040000}"/>
    <cellStyle name="SAPBEXexcGood3 5" xfId="1185" xr:uid="{00000000-0005-0000-0000-0000AA040000}"/>
    <cellStyle name="SAPBEXexcGood3 6" xfId="1186" xr:uid="{00000000-0005-0000-0000-0000AB040000}"/>
    <cellStyle name="SAPBEXexcGood3 7" xfId="1187" xr:uid="{00000000-0005-0000-0000-0000AC040000}"/>
    <cellStyle name="SAPBEXexcGood3 8" xfId="1188" xr:uid="{00000000-0005-0000-0000-0000AD040000}"/>
    <cellStyle name="SAPBEXexcGood3 9" xfId="1189" xr:uid="{00000000-0005-0000-0000-0000AE040000}"/>
    <cellStyle name="SAPBEXexcGood3_gxaccion, 68" xfId="1190" xr:uid="{00000000-0005-0000-0000-0000AF040000}"/>
    <cellStyle name="SAPBEXfilterDrill" xfId="1191" xr:uid="{00000000-0005-0000-0000-0000B0040000}"/>
    <cellStyle name="SAPBEXfilterDrill 10" xfId="1192" xr:uid="{00000000-0005-0000-0000-0000B1040000}"/>
    <cellStyle name="SAPBEXfilterDrill 11" xfId="1193" xr:uid="{00000000-0005-0000-0000-0000B2040000}"/>
    <cellStyle name="SAPBEXfilterDrill 2" xfId="1194" xr:uid="{00000000-0005-0000-0000-0000B3040000}"/>
    <cellStyle name="SAPBEXfilterDrill 2 2" xfId="1195" xr:uid="{00000000-0005-0000-0000-0000B4040000}"/>
    <cellStyle name="SAPBEXfilterDrill 2 2 2" xfId="1196" xr:uid="{00000000-0005-0000-0000-0000B5040000}"/>
    <cellStyle name="SAPBEXfilterDrill 3" xfId="1197" xr:uid="{00000000-0005-0000-0000-0000B6040000}"/>
    <cellStyle name="SAPBEXfilterDrill 4" xfId="1198" xr:uid="{00000000-0005-0000-0000-0000B7040000}"/>
    <cellStyle name="SAPBEXfilterDrill 5" xfId="1199" xr:uid="{00000000-0005-0000-0000-0000B8040000}"/>
    <cellStyle name="SAPBEXfilterDrill 6" xfId="1200" xr:uid="{00000000-0005-0000-0000-0000B9040000}"/>
    <cellStyle name="SAPBEXfilterDrill 7" xfId="1201" xr:uid="{00000000-0005-0000-0000-0000BA040000}"/>
    <cellStyle name="SAPBEXfilterDrill 8" xfId="1202" xr:uid="{00000000-0005-0000-0000-0000BB040000}"/>
    <cellStyle name="SAPBEXfilterDrill 9" xfId="1203" xr:uid="{00000000-0005-0000-0000-0000BC040000}"/>
    <cellStyle name="SAPBEXfilterDrill_gxaccion, 68" xfId="1204" xr:uid="{00000000-0005-0000-0000-0000BD040000}"/>
    <cellStyle name="SAPBEXfilterItem" xfId="1205" xr:uid="{00000000-0005-0000-0000-0000BE040000}"/>
    <cellStyle name="SAPBEXfilterItem 10" xfId="1206" xr:uid="{00000000-0005-0000-0000-0000BF040000}"/>
    <cellStyle name="SAPBEXfilterItem 11" xfId="1207" xr:uid="{00000000-0005-0000-0000-0000C0040000}"/>
    <cellStyle name="SAPBEXfilterItem 2" xfId="1208" xr:uid="{00000000-0005-0000-0000-0000C1040000}"/>
    <cellStyle name="SAPBEXfilterItem 2 2" xfId="1209" xr:uid="{00000000-0005-0000-0000-0000C2040000}"/>
    <cellStyle name="SAPBEXfilterItem 2 2 2" xfId="1210" xr:uid="{00000000-0005-0000-0000-0000C3040000}"/>
    <cellStyle name="SAPBEXfilterItem 3" xfId="1211" xr:uid="{00000000-0005-0000-0000-0000C4040000}"/>
    <cellStyle name="SAPBEXfilterItem 4" xfId="1212" xr:uid="{00000000-0005-0000-0000-0000C5040000}"/>
    <cellStyle name="SAPBEXfilterItem 5" xfId="1213" xr:uid="{00000000-0005-0000-0000-0000C6040000}"/>
    <cellStyle name="SAPBEXfilterItem 6" xfId="1214" xr:uid="{00000000-0005-0000-0000-0000C7040000}"/>
    <cellStyle name="SAPBEXfilterItem 7" xfId="1215" xr:uid="{00000000-0005-0000-0000-0000C8040000}"/>
    <cellStyle name="SAPBEXfilterItem 8" xfId="1216" xr:uid="{00000000-0005-0000-0000-0000C9040000}"/>
    <cellStyle name="SAPBEXfilterItem 9" xfId="1217" xr:uid="{00000000-0005-0000-0000-0000CA040000}"/>
    <cellStyle name="SAPBEXfilterText" xfId="1218" xr:uid="{00000000-0005-0000-0000-0000CB040000}"/>
    <cellStyle name="SAPBEXfilterText 10" xfId="1219" xr:uid="{00000000-0005-0000-0000-0000CC040000}"/>
    <cellStyle name="SAPBEXfilterText 11" xfId="1220" xr:uid="{00000000-0005-0000-0000-0000CD040000}"/>
    <cellStyle name="SAPBEXfilterText 2" xfId="1221" xr:uid="{00000000-0005-0000-0000-0000CE040000}"/>
    <cellStyle name="SAPBEXfilterText 2 2" xfId="1222" xr:uid="{00000000-0005-0000-0000-0000CF040000}"/>
    <cellStyle name="SAPBEXfilterText 2 2 2" xfId="1223" xr:uid="{00000000-0005-0000-0000-0000D0040000}"/>
    <cellStyle name="SAPBEXfilterText 3" xfId="1224" xr:uid="{00000000-0005-0000-0000-0000D1040000}"/>
    <cellStyle name="SAPBEXfilterText 4" xfId="1225" xr:uid="{00000000-0005-0000-0000-0000D2040000}"/>
    <cellStyle name="SAPBEXfilterText 5" xfId="1226" xr:uid="{00000000-0005-0000-0000-0000D3040000}"/>
    <cellStyle name="SAPBEXfilterText 6" xfId="1227" xr:uid="{00000000-0005-0000-0000-0000D4040000}"/>
    <cellStyle name="SAPBEXfilterText 7" xfId="1228" xr:uid="{00000000-0005-0000-0000-0000D5040000}"/>
    <cellStyle name="SAPBEXfilterText 8" xfId="1229" xr:uid="{00000000-0005-0000-0000-0000D6040000}"/>
    <cellStyle name="SAPBEXfilterText 9" xfId="1230" xr:uid="{00000000-0005-0000-0000-0000D7040000}"/>
    <cellStyle name="SAPBEXformats" xfId="1231" xr:uid="{00000000-0005-0000-0000-0000D8040000}"/>
    <cellStyle name="SAPBEXformats 10" xfId="1232" xr:uid="{00000000-0005-0000-0000-0000D9040000}"/>
    <cellStyle name="SAPBEXformats 11" xfId="1233" xr:uid="{00000000-0005-0000-0000-0000DA040000}"/>
    <cellStyle name="SAPBEXformats 2" xfId="1234" xr:uid="{00000000-0005-0000-0000-0000DB040000}"/>
    <cellStyle name="SAPBEXformats 2 2" xfId="1235" xr:uid="{00000000-0005-0000-0000-0000DC040000}"/>
    <cellStyle name="SAPBEXformats 2 2 2" xfId="1236" xr:uid="{00000000-0005-0000-0000-0000DD040000}"/>
    <cellStyle name="SAPBEXformats 3" xfId="1237" xr:uid="{00000000-0005-0000-0000-0000DE040000}"/>
    <cellStyle name="SAPBEXformats 4" xfId="1238" xr:uid="{00000000-0005-0000-0000-0000DF040000}"/>
    <cellStyle name="SAPBEXformats 5" xfId="1239" xr:uid="{00000000-0005-0000-0000-0000E0040000}"/>
    <cellStyle name="SAPBEXformats 6" xfId="1240" xr:uid="{00000000-0005-0000-0000-0000E1040000}"/>
    <cellStyle name="SAPBEXformats 7" xfId="1241" xr:uid="{00000000-0005-0000-0000-0000E2040000}"/>
    <cellStyle name="SAPBEXformats 8" xfId="1242" xr:uid="{00000000-0005-0000-0000-0000E3040000}"/>
    <cellStyle name="SAPBEXformats 9" xfId="1243" xr:uid="{00000000-0005-0000-0000-0000E4040000}"/>
    <cellStyle name="SAPBEXformats_gxaccion, 68" xfId="1244" xr:uid="{00000000-0005-0000-0000-0000E5040000}"/>
    <cellStyle name="SAPBEXheaderItem" xfId="1245" xr:uid="{00000000-0005-0000-0000-0000E6040000}"/>
    <cellStyle name="SAPBEXheaderItem 10" xfId="1246" xr:uid="{00000000-0005-0000-0000-0000E7040000}"/>
    <cellStyle name="SAPBEXheaderItem 11" xfId="1247" xr:uid="{00000000-0005-0000-0000-0000E8040000}"/>
    <cellStyle name="SAPBEXheaderItem 2" xfId="1248" xr:uid="{00000000-0005-0000-0000-0000E9040000}"/>
    <cellStyle name="SAPBEXheaderItem 2 2" xfId="1249" xr:uid="{00000000-0005-0000-0000-0000EA040000}"/>
    <cellStyle name="SAPBEXheaderItem 2 2 2" xfId="1250" xr:uid="{00000000-0005-0000-0000-0000EB040000}"/>
    <cellStyle name="SAPBEXheaderItem 3" xfId="1251" xr:uid="{00000000-0005-0000-0000-0000EC040000}"/>
    <cellStyle name="SAPBEXheaderItem 4" xfId="1252" xr:uid="{00000000-0005-0000-0000-0000ED040000}"/>
    <cellStyle name="SAPBEXheaderItem 5" xfId="1253" xr:uid="{00000000-0005-0000-0000-0000EE040000}"/>
    <cellStyle name="SAPBEXheaderItem 6" xfId="1254" xr:uid="{00000000-0005-0000-0000-0000EF040000}"/>
    <cellStyle name="SAPBEXheaderItem 7" xfId="1255" xr:uid="{00000000-0005-0000-0000-0000F0040000}"/>
    <cellStyle name="SAPBEXheaderItem 8" xfId="1256" xr:uid="{00000000-0005-0000-0000-0000F1040000}"/>
    <cellStyle name="SAPBEXheaderItem 9" xfId="1257" xr:uid="{00000000-0005-0000-0000-0000F2040000}"/>
    <cellStyle name="SAPBEXheaderItem_gxaccion, 68" xfId="1258" xr:uid="{00000000-0005-0000-0000-0000F3040000}"/>
    <cellStyle name="SAPBEXheaderText" xfId="1259" xr:uid="{00000000-0005-0000-0000-0000F4040000}"/>
    <cellStyle name="SAPBEXheaderText 10" xfId="1260" xr:uid="{00000000-0005-0000-0000-0000F5040000}"/>
    <cellStyle name="SAPBEXheaderText 11" xfId="1261" xr:uid="{00000000-0005-0000-0000-0000F6040000}"/>
    <cellStyle name="SAPBEXheaderText 2" xfId="1262" xr:uid="{00000000-0005-0000-0000-0000F7040000}"/>
    <cellStyle name="SAPBEXheaderText 2 2" xfId="1263" xr:uid="{00000000-0005-0000-0000-0000F8040000}"/>
    <cellStyle name="SAPBEXheaderText 2 2 2" xfId="1264" xr:uid="{00000000-0005-0000-0000-0000F9040000}"/>
    <cellStyle name="SAPBEXheaderText 3" xfId="1265" xr:uid="{00000000-0005-0000-0000-0000FA040000}"/>
    <cellStyle name="SAPBEXheaderText 4" xfId="1266" xr:uid="{00000000-0005-0000-0000-0000FB040000}"/>
    <cellStyle name="SAPBEXheaderText 5" xfId="1267" xr:uid="{00000000-0005-0000-0000-0000FC040000}"/>
    <cellStyle name="SAPBEXheaderText 6" xfId="1268" xr:uid="{00000000-0005-0000-0000-0000FD040000}"/>
    <cellStyle name="SAPBEXheaderText 7" xfId="1269" xr:uid="{00000000-0005-0000-0000-0000FE040000}"/>
    <cellStyle name="SAPBEXheaderText 8" xfId="1270" xr:uid="{00000000-0005-0000-0000-0000FF040000}"/>
    <cellStyle name="SAPBEXheaderText 9" xfId="1271" xr:uid="{00000000-0005-0000-0000-000000050000}"/>
    <cellStyle name="SAPBEXheaderText_gxaccion, 68" xfId="1272" xr:uid="{00000000-0005-0000-0000-000001050000}"/>
    <cellStyle name="SAPBEXHLevel0" xfId="1273" xr:uid="{00000000-0005-0000-0000-000002050000}"/>
    <cellStyle name="SAPBEXHLevel0 10" xfId="1274" xr:uid="{00000000-0005-0000-0000-000003050000}"/>
    <cellStyle name="SAPBEXHLevel0 11" xfId="1275" xr:uid="{00000000-0005-0000-0000-000004050000}"/>
    <cellStyle name="SAPBEXHLevel0 2" xfId="1276" xr:uid="{00000000-0005-0000-0000-000005050000}"/>
    <cellStyle name="SAPBEXHLevel0 2 2" xfId="1277" xr:uid="{00000000-0005-0000-0000-000006050000}"/>
    <cellStyle name="SAPBEXHLevel0 2 2 2" xfId="1278" xr:uid="{00000000-0005-0000-0000-000007050000}"/>
    <cellStyle name="SAPBEXHLevel0 3" xfId="1279" xr:uid="{00000000-0005-0000-0000-000008050000}"/>
    <cellStyle name="SAPBEXHLevel0 4" xfId="1280" xr:uid="{00000000-0005-0000-0000-000009050000}"/>
    <cellStyle name="SAPBEXHLevel0 5" xfId="1281" xr:uid="{00000000-0005-0000-0000-00000A050000}"/>
    <cellStyle name="SAPBEXHLevel0 6" xfId="1282" xr:uid="{00000000-0005-0000-0000-00000B050000}"/>
    <cellStyle name="SAPBEXHLevel0 7" xfId="1283" xr:uid="{00000000-0005-0000-0000-00000C050000}"/>
    <cellStyle name="SAPBEXHLevel0 8" xfId="1284" xr:uid="{00000000-0005-0000-0000-00000D050000}"/>
    <cellStyle name="SAPBEXHLevel0 9" xfId="1285" xr:uid="{00000000-0005-0000-0000-00000E050000}"/>
    <cellStyle name="SAPBEXHLevel0_gxaccion, 68" xfId="1286" xr:uid="{00000000-0005-0000-0000-00000F050000}"/>
    <cellStyle name="SAPBEXHLevel0X" xfId="1287" xr:uid="{00000000-0005-0000-0000-000010050000}"/>
    <cellStyle name="SAPBEXHLevel0X 10" xfId="1288" xr:uid="{00000000-0005-0000-0000-000011050000}"/>
    <cellStyle name="SAPBEXHLevel0X 11" xfId="1289" xr:uid="{00000000-0005-0000-0000-000012050000}"/>
    <cellStyle name="SAPBEXHLevel0X 2" xfId="1290" xr:uid="{00000000-0005-0000-0000-000013050000}"/>
    <cellStyle name="SAPBEXHLevel0X 2 2" xfId="1291" xr:uid="{00000000-0005-0000-0000-000014050000}"/>
    <cellStyle name="SAPBEXHLevel0X 2 2 2" xfId="1292" xr:uid="{00000000-0005-0000-0000-000015050000}"/>
    <cellStyle name="SAPBEXHLevel0X 3" xfId="1293" xr:uid="{00000000-0005-0000-0000-000016050000}"/>
    <cellStyle name="SAPBEXHLevel0X 4" xfId="1294" xr:uid="{00000000-0005-0000-0000-000017050000}"/>
    <cellStyle name="SAPBEXHLevel0X 5" xfId="1295" xr:uid="{00000000-0005-0000-0000-000018050000}"/>
    <cellStyle name="SAPBEXHLevel0X 6" xfId="1296" xr:uid="{00000000-0005-0000-0000-000019050000}"/>
    <cellStyle name="SAPBEXHLevel0X 7" xfId="1297" xr:uid="{00000000-0005-0000-0000-00001A050000}"/>
    <cellStyle name="SAPBEXHLevel0X 8" xfId="1298" xr:uid="{00000000-0005-0000-0000-00001B050000}"/>
    <cellStyle name="SAPBEXHLevel0X 9" xfId="1299" xr:uid="{00000000-0005-0000-0000-00001C050000}"/>
    <cellStyle name="SAPBEXHLevel0X_gxaccion, 68" xfId="1300" xr:uid="{00000000-0005-0000-0000-00001D050000}"/>
    <cellStyle name="SAPBEXHLevel1" xfId="1301" xr:uid="{00000000-0005-0000-0000-00001E050000}"/>
    <cellStyle name="SAPBEXHLevel1 10" xfId="1302" xr:uid="{00000000-0005-0000-0000-00001F050000}"/>
    <cellStyle name="SAPBEXHLevel1 11" xfId="1303" xr:uid="{00000000-0005-0000-0000-000020050000}"/>
    <cellStyle name="SAPBEXHLevel1 2" xfId="1304" xr:uid="{00000000-0005-0000-0000-000021050000}"/>
    <cellStyle name="SAPBEXHLevel1 2 2" xfId="1305" xr:uid="{00000000-0005-0000-0000-000022050000}"/>
    <cellStyle name="SAPBEXHLevel1 2 2 2" xfId="1306" xr:uid="{00000000-0005-0000-0000-000023050000}"/>
    <cellStyle name="SAPBEXHLevel1 3" xfId="1307" xr:uid="{00000000-0005-0000-0000-000024050000}"/>
    <cellStyle name="SAPBEXHLevel1 4" xfId="1308" xr:uid="{00000000-0005-0000-0000-000025050000}"/>
    <cellStyle name="SAPBEXHLevel1 5" xfId="1309" xr:uid="{00000000-0005-0000-0000-000026050000}"/>
    <cellStyle name="SAPBEXHLevel1 6" xfId="1310" xr:uid="{00000000-0005-0000-0000-000027050000}"/>
    <cellStyle name="SAPBEXHLevel1 7" xfId="1311" xr:uid="{00000000-0005-0000-0000-000028050000}"/>
    <cellStyle name="SAPBEXHLevel1 8" xfId="1312" xr:uid="{00000000-0005-0000-0000-000029050000}"/>
    <cellStyle name="SAPBEXHLevel1 9" xfId="1313" xr:uid="{00000000-0005-0000-0000-00002A050000}"/>
    <cellStyle name="SAPBEXHLevel1_gxaccion, 68" xfId="1314" xr:uid="{00000000-0005-0000-0000-00002B050000}"/>
    <cellStyle name="SAPBEXHLevel1X" xfId="1315" xr:uid="{00000000-0005-0000-0000-00002C050000}"/>
    <cellStyle name="SAPBEXHLevel1X 10" xfId="1316" xr:uid="{00000000-0005-0000-0000-00002D050000}"/>
    <cellStyle name="SAPBEXHLevel1X 11" xfId="1317" xr:uid="{00000000-0005-0000-0000-00002E050000}"/>
    <cellStyle name="SAPBEXHLevel1X 2" xfId="1318" xr:uid="{00000000-0005-0000-0000-00002F050000}"/>
    <cellStyle name="SAPBEXHLevel1X 2 2" xfId="1319" xr:uid="{00000000-0005-0000-0000-000030050000}"/>
    <cellStyle name="SAPBEXHLevel1X 2 2 2" xfId="1320" xr:uid="{00000000-0005-0000-0000-000031050000}"/>
    <cellStyle name="SAPBEXHLevel1X 3" xfId="1321" xr:uid="{00000000-0005-0000-0000-000032050000}"/>
    <cellStyle name="SAPBEXHLevel1X 4" xfId="1322" xr:uid="{00000000-0005-0000-0000-000033050000}"/>
    <cellStyle name="SAPBEXHLevel1X 5" xfId="1323" xr:uid="{00000000-0005-0000-0000-000034050000}"/>
    <cellStyle name="SAPBEXHLevel1X 6" xfId="1324" xr:uid="{00000000-0005-0000-0000-000035050000}"/>
    <cellStyle name="SAPBEXHLevel1X 7" xfId="1325" xr:uid="{00000000-0005-0000-0000-000036050000}"/>
    <cellStyle name="SAPBEXHLevel1X 8" xfId="1326" xr:uid="{00000000-0005-0000-0000-000037050000}"/>
    <cellStyle name="SAPBEXHLevel1X 9" xfId="1327" xr:uid="{00000000-0005-0000-0000-000038050000}"/>
    <cellStyle name="SAPBEXHLevel1X_gxaccion, 68" xfId="1328" xr:uid="{00000000-0005-0000-0000-000039050000}"/>
    <cellStyle name="SAPBEXHLevel2" xfId="1329" xr:uid="{00000000-0005-0000-0000-00003A050000}"/>
    <cellStyle name="SAPBEXHLevel2 10" xfId="1330" xr:uid="{00000000-0005-0000-0000-00003B050000}"/>
    <cellStyle name="SAPBEXHLevel2 11" xfId="1331" xr:uid="{00000000-0005-0000-0000-00003C050000}"/>
    <cellStyle name="SAPBEXHLevel2 2" xfId="1332" xr:uid="{00000000-0005-0000-0000-00003D050000}"/>
    <cellStyle name="SAPBEXHLevel2 2 2" xfId="1333" xr:uid="{00000000-0005-0000-0000-00003E050000}"/>
    <cellStyle name="SAPBEXHLevel2 2 2 2" xfId="1334" xr:uid="{00000000-0005-0000-0000-00003F050000}"/>
    <cellStyle name="SAPBEXHLevel2 3" xfId="1335" xr:uid="{00000000-0005-0000-0000-000040050000}"/>
    <cellStyle name="SAPBEXHLevel2 4" xfId="1336" xr:uid="{00000000-0005-0000-0000-000041050000}"/>
    <cellStyle name="SAPBEXHLevel2 5" xfId="1337" xr:uid="{00000000-0005-0000-0000-000042050000}"/>
    <cellStyle name="SAPBEXHLevel2 6" xfId="1338" xr:uid="{00000000-0005-0000-0000-000043050000}"/>
    <cellStyle name="SAPBEXHLevel2 7" xfId="1339" xr:uid="{00000000-0005-0000-0000-000044050000}"/>
    <cellStyle name="SAPBEXHLevel2 8" xfId="1340" xr:uid="{00000000-0005-0000-0000-000045050000}"/>
    <cellStyle name="SAPBEXHLevel2 9" xfId="1341" xr:uid="{00000000-0005-0000-0000-000046050000}"/>
    <cellStyle name="SAPBEXHLevel2_gxaccion, 68" xfId="1342" xr:uid="{00000000-0005-0000-0000-000047050000}"/>
    <cellStyle name="SAPBEXHLevel2X" xfId="1343" xr:uid="{00000000-0005-0000-0000-000048050000}"/>
    <cellStyle name="SAPBEXHLevel2X 10" xfId="1344" xr:uid="{00000000-0005-0000-0000-000049050000}"/>
    <cellStyle name="SAPBEXHLevel2X 11" xfId="1345" xr:uid="{00000000-0005-0000-0000-00004A050000}"/>
    <cellStyle name="SAPBEXHLevel2X 2" xfId="1346" xr:uid="{00000000-0005-0000-0000-00004B050000}"/>
    <cellStyle name="SAPBEXHLevel2X 2 2" xfId="1347" xr:uid="{00000000-0005-0000-0000-00004C050000}"/>
    <cellStyle name="SAPBEXHLevel2X 2 2 2" xfId="1348" xr:uid="{00000000-0005-0000-0000-00004D050000}"/>
    <cellStyle name="SAPBEXHLevel2X 3" xfId="1349" xr:uid="{00000000-0005-0000-0000-00004E050000}"/>
    <cellStyle name="SAPBEXHLevel2X 4" xfId="1350" xr:uid="{00000000-0005-0000-0000-00004F050000}"/>
    <cellStyle name="SAPBEXHLevel2X 5" xfId="1351" xr:uid="{00000000-0005-0000-0000-000050050000}"/>
    <cellStyle name="SAPBEXHLevel2X 6" xfId="1352" xr:uid="{00000000-0005-0000-0000-000051050000}"/>
    <cellStyle name="SAPBEXHLevel2X 7" xfId="1353" xr:uid="{00000000-0005-0000-0000-000052050000}"/>
    <cellStyle name="SAPBEXHLevel2X 8" xfId="1354" xr:uid="{00000000-0005-0000-0000-000053050000}"/>
    <cellStyle name="SAPBEXHLevel2X 9" xfId="1355" xr:uid="{00000000-0005-0000-0000-000054050000}"/>
    <cellStyle name="SAPBEXHLevel2X_gxaccion, 68" xfId="1356" xr:uid="{00000000-0005-0000-0000-000055050000}"/>
    <cellStyle name="SAPBEXHLevel3" xfId="1357" xr:uid="{00000000-0005-0000-0000-000056050000}"/>
    <cellStyle name="SAPBEXHLevel3 10" xfId="1358" xr:uid="{00000000-0005-0000-0000-000057050000}"/>
    <cellStyle name="SAPBEXHLevel3 11" xfId="1359" xr:uid="{00000000-0005-0000-0000-000058050000}"/>
    <cellStyle name="SAPBEXHLevel3 2" xfId="1360" xr:uid="{00000000-0005-0000-0000-000059050000}"/>
    <cellStyle name="SAPBEXHLevel3 2 2" xfId="1361" xr:uid="{00000000-0005-0000-0000-00005A050000}"/>
    <cellStyle name="SAPBEXHLevel3 2 2 2" xfId="1362" xr:uid="{00000000-0005-0000-0000-00005B050000}"/>
    <cellStyle name="SAPBEXHLevel3 3" xfId="1363" xr:uid="{00000000-0005-0000-0000-00005C050000}"/>
    <cellStyle name="SAPBEXHLevel3 4" xfId="1364" xr:uid="{00000000-0005-0000-0000-00005D050000}"/>
    <cellStyle name="SAPBEXHLevel3 5" xfId="1365" xr:uid="{00000000-0005-0000-0000-00005E050000}"/>
    <cellStyle name="SAPBEXHLevel3 6" xfId="1366" xr:uid="{00000000-0005-0000-0000-00005F050000}"/>
    <cellStyle name="SAPBEXHLevel3 7" xfId="1367" xr:uid="{00000000-0005-0000-0000-000060050000}"/>
    <cellStyle name="SAPBEXHLevel3 8" xfId="1368" xr:uid="{00000000-0005-0000-0000-000061050000}"/>
    <cellStyle name="SAPBEXHLevel3 9" xfId="1369" xr:uid="{00000000-0005-0000-0000-000062050000}"/>
    <cellStyle name="SAPBEXHLevel3_gxaccion, 68" xfId="1370" xr:uid="{00000000-0005-0000-0000-000063050000}"/>
    <cellStyle name="SAPBEXHLevel3X" xfId="1371" xr:uid="{00000000-0005-0000-0000-000064050000}"/>
    <cellStyle name="SAPBEXHLevel3X 10" xfId="1372" xr:uid="{00000000-0005-0000-0000-000065050000}"/>
    <cellStyle name="SAPBEXHLevel3X 11" xfId="1373" xr:uid="{00000000-0005-0000-0000-000066050000}"/>
    <cellStyle name="SAPBEXHLevel3X 2" xfId="1374" xr:uid="{00000000-0005-0000-0000-000067050000}"/>
    <cellStyle name="SAPBEXHLevel3X 2 2" xfId="1375" xr:uid="{00000000-0005-0000-0000-000068050000}"/>
    <cellStyle name="SAPBEXHLevel3X 2 2 2" xfId="1376" xr:uid="{00000000-0005-0000-0000-000069050000}"/>
    <cellStyle name="SAPBEXHLevel3X 3" xfId="1377" xr:uid="{00000000-0005-0000-0000-00006A050000}"/>
    <cellStyle name="SAPBEXHLevel3X 4" xfId="1378" xr:uid="{00000000-0005-0000-0000-00006B050000}"/>
    <cellStyle name="SAPBEXHLevel3X 5" xfId="1379" xr:uid="{00000000-0005-0000-0000-00006C050000}"/>
    <cellStyle name="SAPBEXHLevel3X 6" xfId="1380" xr:uid="{00000000-0005-0000-0000-00006D050000}"/>
    <cellStyle name="SAPBEXHLevel3X 7" xfId="1381" xr:uid="{00000000-0005-0000-0000-00006E050000}"/>
    <cellStyle name="SAPBEXHLevel3X 8" xfId="1382" xr:uid="{00000000-0005-0000-0000-00006F050000}"/>
    <cellStyle name="SAPBEXHLevel3X 9" xfId="1383" xr:uid="{00000000-0005-0000-0000-000070050000}"/>
    <cellStyle name="SAPBEXHLevel3X_gxaccion, 68" xfId="1384" xr:uid="{00000000-0005-0000-0000-000071050000}"/>
    <cellStyle name="SAPBEXinputData" xfId="1385" xr:uid="{00000000-0005-0000-0000-000072050000}"/>
    <cellStyle name="SAPBEXinputData 10" xfId="1386" xr:uid="{00000000-0005-0000-0000-000073050000}"/>
    <cellStyle name="SAPBEXinputData 11" xfId="1387" xr:uid="{00000000-0005-0000-0000-000074050000}"/>
    <cellStyle name="SAPBEXinputData 2" xfId="1388" xr:uid="{00000000-0005-0000-0000-000075050000}"/>
    <cellStyle name="SAPBEXinputData 2 2" xfId="1389" xr:uid="{00000000-0005-0000-0000-000076050000}"/>
    <cellStyle name="SAPBEXinputData 2 2 2" xfId="1390" xr:uid="{00000000-0005-0000-0000-000077050000}"/>
    <cellStyle name="SAPBEXinputData 3" xfId="1391" xr:uid="{00000000-0005-0000-0000-000078050000}"/>
    <cellStyle name="SAPBEXinputData 4" xfId="1392" xr:uid="{00000000-0005-0000-0000-000079050000}"/>
    <cellStyle name="SAPBEXinputData 5" xfId="1393" xr:uid="{00000000-0005-0000-0000-00007A050000}"/>
    <cellStyle name="SAPBEXinputData 6" xfId="1394" xr:uid="{00000000-0005-0000-0000-00007B050000}"/>
    <cellStyle name="SAPBEXinputData 7" xfId="1395" xr:uid="{00000000-0005-0000-0000-00007C050000}"/>
    <cellStyle name="SAPBEXinputData 8" xfId="1396" xr:uid="{00000000-0005-0000-0000-00007D050000}"/>
    <cellStyle name="SAPBEXinputData 9" xfId="1397" xr:uid="{00000000-0005-0000-0000-00007E050000}"/>
    <cellStyle name="SAPBEXinputData_gxaccion, 68" xfId="1398" xr:uid="{00000000-0005-0000-0000-00007F050000}"/>
    <cellStyle name="SAPBEXItemHeader" xfId="1399" xr:uid="{00000000-0005-0000-0000-000080050000}"/>
    <cellStyle name="SAPBEXresData" xfId="1400" xr:uid="{00000000-0005-0000-0000-000081050000}"/>
    <cellStyle name="SAPBEXresData 10" xfId="1401" xr:uid="{00000000-0005-0000-0000-000082050000}"/>
    <cellStyle name="SAPBEXresData 11" xfId="1402" xr:uid="{00000000-0005-0000-0000-000083050000}"/>
    <cellStyle name="SAPBEXresData 2" xfId="1403" xr:uid="{00000000-0005-0000-0000-000084050000}"/>
    <cellStyle name="SAPBEXresData 2 2" xfId="1404" xr:uid="{00000000-0005-0000-0000-000085050000}"/>
    <cellStyle name="SAPBEXresData 2 2 2" xfId="1405" xr:uid="{00000000-0005-0000-0000-000086050000}"/>
    <cellStyle name="SAPBEXresData 3" xfId="1406" xr:uid="{00000000-0005-0000-0000-000087050000}"/>
    <cellStyle name="SAPBEXresData 4" xfId="1407" xr:uid="{00000000-0005-0000-0000-000088050000}"/>
    <cellStyle name="SAPBEXresData 5" xfId="1408" xr:uid="{00000000-0005-0000-0000-000089050000}"/>
    <cellStyle name="SAPBEXresData 6" xfId="1409" xr:uid="{00000000-0005-0000-0000-00008A050000}"/>
    <cellStyle name="SAPBEXresData 7" xfId="1410" xr:uid="{00000000-0005-0000-0000-00008B050000}"/>
    <cellStyle name="SAPBEXresData 8" xfId="1411" xr:uid="{00000000-0005-0000-0000-00008C050000}"/>
    <cellStyle name="SAPBEXresData 9" xfId="1412" xr:uid="{00000000-0005-0000-0000-00008D050000}"/>
    <cellStyle name="SAPBEXresData_valor justo.junio2010" xfId="1413" xr:uid="{00000000-0005-0000-0000-00008E050000}"/>
    <cellStyle name="SAPBEXresDataEmph" xfId="1414" xr:uid="{00000000-0005-0000-0000-00008F050000}"/>
    <cellStyle name="SAPBEXresDataEmph 10" xfId="1415" xr:uid="{00000000-0005-0000-0000-000090050000}"/>
    <cellStyle name="SAPBEXresDataEmph 11" xfId="1416" xr:uid="{00000000-0005-0000-0000-000091050000}"/>
    <cellStyle name="SAPBEXresDataEmph 2" xfId="1417" xr:uid="{00000000-0005-0000-0000-000092050000}"/>
    <cellStyle name="SAPBEXresDataEmph 2 2" xfId="1418" xr:uid="{00000000-0005-0000-0000-000093050000}"/>
    <cellStyle name="SAPBEXresDataEmph 2 2 2" xfId="1419" xr:uid="{00000000-0005-0000-0000-000094050000}"/>
    <cellStyle name="SAPBEXresDataEmph 3" xfId="1420" xr:uid="{00000000-0005-0000-0000-000095050000}"/>
    <cellStyle name="SAPBEXresDataEmph 4" xfId="1421" xr:uid="{00000000-0005-0000-0000-000096050000}"/>
    <cellStyle name="SAPBEXresDataEmph 5" xfId="1422" xr:uid="{00000000-0005-0000-0000-000097050000}"/>
    <cellStyle name="SAPBEXresDataEmph 6" xfId="1423" xr:uid="{00000000-0005-0000-0000-000098050000}"/>
    <cellStyle name="SAPBEXresDataEmph 7" xfId="1424" xr:uid="{00000000-0005-0000-0000-000099050000}"/>
    <cellStyle name="SAPBEXresDataEmph 8" xfId="1425" xr:uid="{00000000-0005-0000-0000-00009A050000}"/>
    <cellStyle name="SAPBEXresDataEmph 9" xfId="1426" xr:uid="{00000000-0005-0000-0000-00009B050000}"/>
    <cellStyle name="SAPBEXresDataEmph_valor justo.junio2010" xfId="1427" xr:uid="{00000000-0005-0000-0000-00009C050000}"/>
    <cellStyle name="SAPBEXresItem" xfId="1428" xr:uid="{00000000-0005-0000-0000-00009D050000}"/>
    <cellStyle name="SAPBEXresItem 10" xfId="1429" xr:uid="{00000000-0005-0000-0000-00009E050000}"/>
    <cellStyle name="SAPBEXresItem 11" xfId="1430" xr:uid="{00000000-0005-0000-0000-00009F050000}"/>
    <cellStyle name="SAPBEXresItem 2" xfId="1431" xr:uid="{00000000-0005-0000-0000-0000A0050000}"/>
    <cellStyle name="SAPBEXresItem 2 2" xfId="1432" xr:uid="{00000000-0005-0000-0000-0000A1050000}"/>
    <cellStyle name="SAPBEXresItem 2 2 2" xfId="1433" xr:uid="{00000000-0005-0000-0000-0000A2050000}"/>
    <cellStyle name="SAPBEXresItem 3" xfId="1434" xr:uid="{00000000-0005-0000-0000-0000A3050000}"/>
    <cellStyle name="SAPBEXresItem 4" xfId="1435" xr:uid="{00000000-0005-0000-0000-0000A4050000}"/>
    <cellStyle name="SAPBEXresItem 5" xfId="1436" xr:uid="{00000000-0005-0000-0000-0000A5050000}"/>
    <cellStyle name="SAPBEXresItem 6" xfId="1437" xr:uid="{00000000-0005-0000-0000-0000A6050000}"/>
    <cellStyle name="SAPBEXresItem 7" xfId="1438" xr:uid="{00000000-0005-0000-0000-0000A7050000}"/>
    <cellStyle name="SAPBEXresItem 8" xfId="1439" xr:uid="{00000000-0005-0000-0000-0000A8050000}"/>
    <cellStyle name="SAPBEXresItem 9" xfId="1440" xr:uid="{00000000-0005-0000-0000-0000A9050000}"/>
    <cellStyle name="SAPBEXresItem_valor justo.junio2010" xfId="1441" xr:uid="{00000000-0005-0000-0000-0000AA050000}"/>
    <cellStyle name="SAPBEXresItemX" xfId="1442" xr:uid="{00000000-0005-0000-0000-0000AB050000}"/>
    <cellStyle name="SAPBEXresItemX 10" xfId="1443" xr:uid="{00000000-0005-0000-0000-0000AC050000}"/>
    <cellStyle name="SAPBEXresItemX 11" xfId="1444" xr:uid="{00000000-0005-0000-0000-0000AD050000}"/>
    <cellStyle name="SAPBEXresItemX 2" xfId="1445" xr:uid="{00000000-0005-0000-0000-0000AE050000}"/>
    <cellStyle name="SAPBEXresItemX 2 2" xfId="1446" xr:uid="{00000000-0005-0000-0000-0000AF050000}"/>
    <cellStyle name="SAPBEXresItemX 2 2 2" xfId="1447" xr:uid="{00000000-0005-0000-0000-0000B0050000}"/>
    <cellStyle name="SAPBEXresItemX 3" xfId="1448" xr:uid="{00000000-0005-0000-0000-0000B1050000}"/>
    <cellStyle name="SAPBEXresItemX 4" xfId="1449" xr:uid="{00000000-0005-0000-0000-0000B2050000}"/>
    <cellStyle name="SAPBEXresItemX 5" xfId="1450" xr:uid="{00000000-0005-0000-0000-0000B3050000}"/>
    <cellStyle name="SAPBEXresItemX 6" xfId="1451" xr:uid="{00000000-0005-0000-0000-0000B4050000}"/>
    <cellStyle name="SAPBEXresItemX 7" xfId="1452" xr:uid="{00000000-0005-0000-0000-0000B5050000}"/>
    <cellStyle name="SAPBEXresItemX 8" xfId="1453" xr:uid="{00000000-0005-0000-0000-0000B6050000}"/>
    <cellStyle name="SAPBEXresItemX 9" xfId="1454" xr:uid="{00000000-0005-0000-0000-0000B7050000}"/>
    <cellStyle name="SAPBEXresItemX_valor justo.junio2010" xfId="1455" xr:uid="{00000000-0005-0000-0000-0000B8050000}"/>
    <cellStyle name="SAPBEXstdData" xfId="1456" xr:uid="{00000000-0005-0000-0000-0000B9050000}"/>
    <cellStyle name="SAPBEXstdData 10" xfId="1457" xr:uid="{00000000-0005-0000-0000-0000BA050000}"/>
    <cellStyle name="SAPBEXstdData 11" xfId="1458" xr:uid="{00000000-0005-0000-0000-0000BB050000}"/>
    <cellStyle name="SAPBEXstdData 2" xfId="1459" xr:uid="{00000000-0005-0000-0000-0000BC050000}"/>
    <cellStyle name="SAPBEXstdData 2 2" xfId="1460" xr:uid="{00000000-0005-0000-0000-0000BD050000}"/>
    <cellStyle name="SAPBEXstdData 2 2 2" xfId="1461" xr:uid="{00000000-0005-0000-0000-0000BE050000}"/>
    <cellStyle name="SAPBEXstdData 3" xfId="1462" xr:uid="{00000000-0005-0000-0000-0000BF050000}"/>
    <cellStyle name="SAPBEXstdData 4" xfId="1463" xr:uid="{00000000-0005-0000-0000-0000C0050000}"/>
    <cellStyle name="SAPBEXstdData 5" xfId="1464" xr:uid="{00000000-0005-0000-0000-0000C1050000}"/>
    <cellStyle name="SAPBEXstdData 6" xfId="1465" xr:uid="{00000000-0005-0000-0000-0000C2050000}"/>
    <cellStyle name="SAPBEXstdData 7" xfId="1466" xr:uid="{00000000-0005-0000-0000-0000C3050000}"/>
    <cellStyle name="SAPBEXstdData 8" xfId="1467" xr:uid="{00000000-0005-0000-0000-0000C4050000}"/>
    <cellStyle name="SAPBEXstdData 9" xfId="1468" xr:uid="{00000000-0005-0000-0000-0000C5050000}"/>
    <cellStyle name="SAPBEXstdData_gxaccion, 68" xfId="1469" xr:uid="{00000000-0005-0000-0000-0000C6050000}"/>
    <cellStyle name="SAPBEXstdDataEmph" xfId="1470" xr:uid="{00000000-0005-0000-0000-0000C7050000}"/>
    <cellStyle name="SAPBEXstdDataEmph 10" xfId="1471" xr:uid="{00000000-0005-0000-0000-0000C8050000}"/>
    <cellStyle name="SAPBEXstdDataEmph 11" xfId="1472" xr:uid="{00000000-0005-0000-0000-0000C9050000}"/>
    <cellStyle name="SAPBEXstdDataEmph 2" xfId="1473" xr:uid="{00000000-0005-0000-0000-0000CA050000}"/>
    <cellStyle name="SAPBEXstdDataEmph 2 2" xfId="1474" xr:uid="{00000000-0005-0000-0000-0000CB050000}"/>
    <cellStyle name="SAPBEXstdDataEmph 2 2 2" xfId="1475" xr:uid="{00000000-0005-0000-0000-0000CC050000}"/>
    <cellStyle name="SAPBEXstdDataEmph 3" xfId="1476" xr:uid="{00000000-0005-0000-0000-0000CD050000}"/>
    <cellStyle name="SAPBEXstdDataEmph 4" xfId="1477" xr:uid="{00000000-0005-0000-0000-0000CE050000}"/>
    <cellStyle name="SAPBEXstdDataEmph 5" xfId="1478" xr:uid="{00000000-0005-0000-0000-0000CF050000}"/>
    <cellStyle name="SAPBEXstdDataEmph 6" xfId="1479" xr:uid="{00000000-0005-0000-0000-0000D0050000}"/>
    <cellStyle name="SAPBEXstdDataEmph 7" xfId="1480" xr:uid="{00000000-0005-0000-0000-0000D1050000}"/>
    <cellStyle name="SAPBEXstdDataEmph 8" xfId="1481" xr:uid="{00000000-0005-0000-0000-0000D2050000}"/>
    <cellStyle name="SAPBEXstdDataEmph 9" xfId="1482" xr:uid="{00000000-0005-0000-0000-0000D3050000}"/>
    <cellStyle name="SAPBEXstdDataEmph_valor justo.junio2010" xfId="1483" xr:uid="{00000000-0005-0000-0000-0000D4050000}"/>
    <cellStyle name="SAPBEXstdItem" xfId="1484" xr:uid="{00000000-0005-0000-0000-0000D5050000}"/>
    <cellStyle name="SAPBEXstdItem 10" xfId="1485" xr:uid="{00000000-0005-0000-0000-0000D6050000}"/>
    <cellStyle name="SAPBEXstdItem 11" xfId="1486" xr:uid="{00000000-0005-0000-0000-0000D7050000}"/>
    <cellStyle name="SAPBEXstdItem 2" xfId="1487" xr:uid="{00000000-0005-0000-0000-0000D8050000}"/>
    <cellStyle name="SAPBEXstdItem 2 2" xfId="1488" xr:uid="{00000000-0005-0000-0000-0000D9050000}"/>
    <cellStyle name="SAPBEXstdItem 2 2 2" xfId="1489" xr:uid="{00000000-0005-0000-0000-0000DA050000}"/>
    <cellStyle name="SAPBEXstdItem 3" xfId="1490" xr:uid="{00000000-0005-0000-0000-0000DB050000}"/>
    <cellStyle name="SAPBEXstdItem 4" xfId="1491" xr:uid="{00000000-0005-0000-0000-0000DC050000}"/>
    <cellStyle name="SAPBEXstdItem 5" xfId="1492" xr:uid="{00000000-0005-0000-0000-0000DD050000}"/>
    <cellStyle name="SAPBEXstdItem 6" xfId="1493" xr:uid="{00000000-0005-0000-0000-0000DE050000}"/>
    <cellStyle name="SAPBEXstdItem 7" xfId="1494" xr:uid="{00000000-0005-0000-0000-0000DF050000}"/>
    <cellStyle name="SAPBEXstdItem 8" xfId="1495" xr:uid="{00000000-0005-0000-0000-0000E0050000}"/>
    <cellStyle name="SAPBEXstdItem 9" xfId="1496" xr:uid="{00000000-0005-0000-0000-0000E1050000}"/>
    <cellStyle name="SAPBEXstdItem_gxaccion, 68" xfId="1497" xr:uid="{00000000-0005-0000-0000-0000E2050000}"/>
    <cellStyle name="SAPBEXstdItemX" xfId="1498" xr:uid="{00000000-0005-0000-0000-0000E3050000}"/>
    <cellStyle name="SAPBEXstdItemX 10" xfId="1499" xr:uid="{00000000-0005-0000-0000-0000E4050000}"/>
    <cellStyle name="SAPBEXstdItemX 11" xfId="1500" xr:uid="{00000000-0005-0000-0000-0000E5050000}"/>
    <cellStyle name="SAPBEXstdItemX 2" xfId="1501" xr:uid="{00000000-0005-0000-0000-0000E6050000}"/>
    <cellStyle name="SAPBEXstdItemX 2 2" xfId="1502" xr:uid="{00000000-0005-0000-0000-0000E7050000}"/>
    <cellStyle name="SAPBEXstdItemX 2 2 2" xfId="1503" xr:uid="{00000000-0005-0000-0000-0000E8050000}"/>
    <cellStyle name="SAPBEXstdItemX 3" xfId="1504" xr:uid="{00000000-0005-0000-0000-0000E9050000}"/>
    <cellStyle name="SAPBEXstdItemX 4" xfId="1505" xr:uid="{00000000-0005-0000-0000-0000EA050000}"/>
    <cellStyle name="SAPBEXstdItemX 5" xfId="1506" xr:uid="{00000000-0005-0000-0000-0000EB050000}"/>
    <cellStyle name="SAPBEXstdItemX 6" xfId="1507" xr:uid="{00000000-0005-0000-0000-0000EC050000}"/>
    <cellStyle name="SAPBEXstdItemX 7" xfId="1508" xr:uid="{00000000-0005-0000-0000-0000ED050000}"/>
    <cellStyle name="SAPBEXstdItemX 8" xfId="1509" xr:uid="{00000000-0005-0000-0000-0000EE050000}"/>
    <cellStyle name="SAPBEXstdItemX 9" xfId="1510" xr:uid="{00000000-0005-0000-0000-0000EF050000}"/>
    <cellStyle name="SAPBEXstdItemX_valor justo.junio2010" xfId="1511" xr:uid="{00000000-0005-0000-0000-0000F0050000}"/>
    <cellStyle name="SAPBEXtitle" xfId="1512" xr:uid="{00000000-0005-0000-0000-0000F1050000}"/>
    <cellStyle name="SAPBEXtitle 10" xfId="1513" xr:uid="{00000000-0005-0000-0000-0000F2050000}"/>
    <cellStyle name="SAPBEXtitle 11" xfId="1514" xr:uid="{00000000-0005-0000-0000-0000F3050000}"/>
    <cellStyle name="SAPBEXtitle 2" xfId="1515" xr:uid="{00000000-0005-0000-0000-0000F4050000}"/>
    <cellStyle name="SAPBEXtitle 2 2" xfId="1516" xr:uid="{00000000-0005-0000-0000-0000F5050000}"/>
    <cellStyle name="SAPBEXtitle 2 2 2" xfId="1517" xr:uid="{00000000-0005-0000-0000-0000F6050000}"/>
    <cellStyle name="SAPBEXtitle 3" xfId="1518" xr:uid="{00000000-0005-0000-0000-0000F7050000}"/>
    <cellStyle name="SAPBEXtitle 4" xfId="1519" xr:uid="{00000000-0005-0000-0000-0000F8050000}"/>
    <cellStyle name="SAPBEXtitle 5" xfId="1520" xr:uid="{00000000-0005-0000-0000-0000F9050000}"/>
    <cellStyle name="SAPBEXtitle 6" xfId="1521" xr:uid="{00000000-0005-0000-0000-0000FA050000}"/>
    <cellStyle name="SAPBEXtitle 7" xfId="1522" xr:uid="{00000000-0005-0000-0000-0000FB050000}"/>
    <cellStyle name="SAPBEXtitle 8" xfId="1523" xr:uid="{00000000-0005-0000-0000-0000FC050000}"/>
    <cellStyle name="SAPBEXtitle 9" xfId="1524" xr:uid="{00000000-0005-0000-0000-0000FD050000}"/>
    <cellStyle name="SAPBEXunassignedItem" xfId="1525" xr:uid="{00000000-0005-0000-0000-0000FE050000}"/>
    <cellStyle name="SAPBEXunassignedItem 2" xfId="1526" xr:uid="{00000000-0005-0000-0000-0000FF050000}"/>
    <cellStyle name="SAPBEXunassignedItem 3" xfId="1527" xr:uid="{00000000-0005-0000-0000-000000060000}"/>
    <cellStyle name="SAPBEXunassignedItem 4" xfId="1528" xr:uid="{00000000-0005-0000-0000-000001060000}"/>
    <cellStyle name="SAPBEXunassignedItem 5" xfId="1529" xr:uid="{00000000-0005-0000-0000-000002060000}"/>
    <cellStyle name="SAPBEXundefined" xfId="1530" xr:uid="{00000000-0005-0000-0000-000003060000}"/>
    <cellStyle name="SAPBEXundefined 10" xfId="1531" xr:uid="{00000000-0005-0000-0000-000004060000}"/>
    <cellStyle name="SAPBEXundefined 11" xfId="1532" xr:uid="{00000000-0005-0000-0000-000005060000}"/>
    <cellStyle name="SAPBEXundefined 2" xfId="1533" xr:uid="{00000000-0005-0000-0000-000006060000}"/>
    <cellStyle name="SAPBEXundefined 2 2" xfId="1534" xr:uid="{00000000-0005-0000-0000-000007060000}"/>
    <cellStyle name="SAPBEXundefined 2 2 2" xfId="1535" xr:uid="{00000000-0005-0000-0000-000008060000}"/>
    <cellStyle name="SAPBEXundefined 3" xfId="1536" xr:uid="{00000000-0005-0000-0000-000009060000}"/>
    <cellStyle name="SAPBEXundefined 4" xfId="1537" xr:uid="{00000000-0005-0000-0000-00000A060000}"/>
    <cellStyle name="SAPBEXundefined 5" xfId="1538" xr:uid="{00000000-0005-0000-0000-00000B060000}"/>
    <cellStyle name="SAPBEXundefined 6" xfId="1539" xr:uid="{00000000-0005-0000-0000-00000C060000}"/>
    <cellStyle name="SAPBEXundefined 7" xfId="1540" xr:uid="{00000000-0005-0000-0000-00000D060000}"/>
    <cellStyle name="SAPBEXundefined 8" xfId="1541" xr:uid="{00000000-0005-0000-0000-00000E060000}"/>
    <cellStyle name="SAPBEXundefined 9" xfId="1542" xr:uid="{00000000-0005-0000-0000-00000F060000}"/>
    <cellStyle name="SAPBEXundefined_valor justo.junio2010" xfId="1543" xr:uid="{00000000-0005-0000-0000-000010060000}"/>
    <cellStyle name="Sheet Title" xfId="1544" xr:uid="{00000000-0005-0000-0000-000011060000}"/>
    <cellStyle name="Suma" xfId="1545" xr:uid="{00000000-0005-0000-0000-000012060000}"/>
    <cellStyle name="Tekst obja?nienia" xfId="1546" xr:uid="{00000000-0005-0000-0000-000013060000}"/>
    <cellStyle name="Tekst objaśnienia" xfId="1547" xr:uid="{00000000-0005-0000-0000-000014060000}"/>
    <cellStyle name="Tekst ostrze?enia" xfId="1548" xr:uid="{00000000-0005-0000-0000-000015060000}"/>
    <cellStyle name="Tekst ostrzeżenia" xfId="1549" xr:uid="{00000000-0005-0000-0000-000016060000}"/>
    <cellStyle name="Texto de advertencia" xfId="1550" builtinId="11" customBuiltin="1"/>
    <cellStyle name="Texto de advertencia 2" xfId="1551" xr:uid="{00000000-0005-0000-0000-000018060000}"/>
    <cellStyle name="Texto de advertencia 2 2" xfId="1552" xr:uid="{00000000-0005-0000-0000-000019060000}"/>
    <cellStyle name="Texto de advertencia 2 3" xfId="1553" xr:uid="{00000000-0005-0000-0000-00001A060000}"/>
    <cellStyle name="Texto de advertencia 2 4" xfId="1554" xr:uid="{00000000-0005-0000-0000-00001B060000}"/>
    <cellStyle name="Texto de advertencia 2 5" xfId="1555" xr:uid="{00000000-0005-0000-0000-00001C060000}"/>
    <cellStyle name="Texto de advertencia 2 6" xfId="1556" xr:uid="{00000000-0005-0000-0000-00001D060000}"/>
    <cellStyle name="Texto de advertencia 3" xfId="1557" xr:uid="{00000000-0005-0000-0000-00001E060000}"/>
    <cellStyle name="Texto de advertencia 3 2" xfId="1558" xr:uid="{00000000-0005-0000-0000-00001F060000}"/>
    <cellStyle name="Texto de advertencia 3 3" xfId="1559" xr:uid="{00000000-0005-0000-0000-000020060000}"/>
    <cellStyle name="Texto de advertencia 3 4" xfId="1560" xr:uid="{00000000-0005-0000-0000-000021060000}"/>
    <cellStyle name="Texto de advertencia 3 5" xfId="1561" xr:uid="{00000000-0005-0000-0000-000022060000}"/>
    <cellStyle name="Texto de advertencia 4" xfId="1562" xr:uid="{00000000-0005-0000-0000-000023060000}"/>
    <cellStyle name="Texto de advertencia 4 2" xfId="1563" xr:uid="{00000000-0005-0000-0000-000024060000}"/>
    <cellStyle name="Texto de advertencia 4 3" xfId="1564" xr:uid="{00000000-0005-0000-0000-000025060000}"/>
    <cellStyle name="Texto de advertencia 4 4" xfId="1565" xr:uid="{00000000-0005-0000-0000-000026060000}"/>
    <cellStyle name="Texto de advertencia 4 5" xfId="1566" xr:uid="{00000000-0005-0000-0000-000027060000}"/>
    <cellStyle name="Texto de advertencia 5" xfId="1567" xr:uid="{00000000-0005-0000-0000-000028060000}"/>
    <cellStyle name="Texto de advertencia 5 2" xfId="1568" xr:uid="{00000000-0005-0000-0000-000029060000}"/>
    <cellStyle name="Texto de advertencia 5 3" xfId="1569" xr:uid="{00000000-0005-0000-0000-00002A060000}"/>
    <cellStyle name="Texto de advertencia 5 4" xfId="1570" xr:uid="{00000000-0005-0000-0000-00002B060000}"/>
    <cellStyle name="Texto de advertencia 5 5" xfId="1571" xr:uid="{00000000-0005-0000-0000-00002C060000}"/>
    <cellStyle name="Texto de advertencia 6" xfId="1572" xr:uid="{00000000-0005-0000-0000-00002D060000}"/>
    <cellStyle name="Texto de advertencia 6 2" xfId="1573" xr:uid="{00000000-0005-0000-0000-00002E060000}"/>
    <cellStyle name="Texto de advertencia 7" xfId="1574" xr:uid="{00000000-0005-0000-0000-00002F060000}"/>
    <cellStyle name="Texto de advertencia 8" xfId="1575" xr:uid="{00000000-0005-0000-0000-000030060000}"/>
    <cellStyle name="Texto de advertencia 9" xfId="1576" xr:uid="{00000000-0005-0000-0000-000031060000}"/>
    <cellStyle name="Texto explicativo" xfId="1577" builtinId="53" customBuiltin="1"/>
    <cellStyle name="Texto explicativo 2 2" xfId="1578" xr:uid="{00000000-0005-0000-0000-000033060000}"/>
    <cellStyle name="Title" xfId="1579" xr:uid="{00000000-0005-0000-0000-000034060000}"/>
    <cellStyle name="Título" xfId="1580" builtinId="15" customBuiltin="1"/>
    <cellStyle name="Título 1 2" xfId="1582" xr:uid="{00000000-0005-0000-0000-000036060000}"/>
    <cellStyle name="Título 1 2 2" xfId="1583" xr:uid="{00000000-0005-0000-0000-000037060000}"/>
    <cellStyle name="Título 1 2 3" xfId="1584" xr:uid="{00000000-0005-0000-0000-000038060000}"/>
    <cellStyle name="Título 1 2 4" xfId="1585" xr:uid="{00000000-0005-0000-0000-000039060000}"/>
    <cellStyle name="Título 1 2 5" xfId="1586" xr:uid="{00000000-0005-0000-0000-00003A060000}"/>
    <cellStyle name="Título 1 2 6" xfId="1587" xr:uid="{00000000-0005-0000-0000-00003B060000}"/>
    <cellStyle name="Título 1 3" xfId="1588" xr:uid="{00000000-0005-0000-0000-00003C060000}"/>
    <cellStyle name="Título 1 3 2" xfId="1589" xr:uid="{00000000-0005-0000-0000-00003D060000}"/>
    <cellStyle name="Título 1 3 3" xfId="1590" xr:uid="{00000000-0005-0000-0000-00003E060000}"/>
    <cellStyle name="Título 1 3 4" xfId="1591" xr:uid="{00000000-0005-0000-0000-00003F060000}"/>
    <cellStyle name="Título 1 3 5" xfId="1592" xr:uid="{00000000-0005-0000-0000-000040060000}"/>
    <cellStyle name="Título 1 4" xfId="1593" xr:uid="{00000000-0005-0000-0000-000041060000}"/>
    <cellStyle name="Título 1 4 2" xfId="1594" xr:uid="{00000000-0005-0000-0000-000042060000}"/>
    <cellStyle name="Título 1 4 3" xfId="1595" xr:uid="{00000000-0005-0000-0000-000043060000}"/>
    <cellStyle name="Título 1 4 4" xfId="1596" xr:uid="{00000000-0005-0000-0000-000044060000}"/>
    <cellStyle name="Título 1 4 5" xfId="1597" xr:uid="{00000000-0005-0000-0000-000045060000}"/>
    <cellStyle name="Título 1 5" xfId="1598" xr:uid="{00000000-0005-0000-0000-000046060000}"/>
    <cellStyle name="Título 1 5 2" xfId="1599" xr:uid="{00000000-0005-0000-0000-000047060000}"/>
    <cellStyle name="Título 1 5 3" xfId="1600" xr:uid="{00000000-0005-0000-0000-000048060000}"/>
    <cellStyle name="Título 1 5 4" xfId="1601" xr:uid="{00000000-0005-0000-0000-000049060000}"/>
    <cellStyle name="Título 1 5 5" xfId="1602" xr:uid="{00000000-0005-0000-0000-00004A060000}"/>
    <cellStyle name="Título 1 6" xfId="1603" xr:uid="{00000000-0005-0000-0000-00004B060000}"/>
    <cellStyle name="Título 1 7" xfId="1604" xr:uid="{00000000-0005-0000-0000-00004C060000}"/>
    <cellStyle name="Título 1 8" xfId="1605" xr:uid="{00000000-0005-0000-0000-00004D060000}"/>
    <cellStyle name="Título 1 9" xfId="1606" xr:uid="{00000000-0005-0000-0000-00004E060000}"/>
    <cellStyle name="Título 2" xfId="1607" builtinId="17" customBuiltin="1"/>
    <cellStyle name="Título 2 2" xfId="1608" xr:uid="{00000000-0005-0000-0000-000050060000}"/>
    <cellStyle name="Título 2 2 2" xfId="1609" xr:uid="{00000000-0005-0000-0000-000051060000}"/>
    <cellStyle name="Título 2 2 3" xfId="1610" xr:uid="{00000000-0005-0000-0000-000052060000}"/>
    <cellStyle name="Título 2 2 4" xfId="1611" xr:uid="{00000000-0005-0000-0000-000053060000}"/>
    <cellStyle name="Título 2 2 5" xfId="1612" xr:uid="{00000000-0005-0000-0000-000054060000}"/>
    <cellStyle name="Título 2 2 6" xfId="1613" xr:uid="{00000000-0005-0000-0000-000055060000}"/>
    <cellStyle name="Título 2 3" xfId="1614" xr:uid="{00000000-0005-0000-0000-000056060000}"/>
    <cellStyle name="Título 2 3 2" xfId="1615" xr:uid="{00000000-0005-0000-0000-000057060000}"/>
    <cellStyle name="Título 2 3 3" xfId="1616" xr:uid="{00000000-0005-0000-0000-000058060000}"/>
    <cellStyle name="Título 2 3 4" xfId="1617" xr:uid="{00000000-0005-0000-0000-000059060000}"/>
    <cellStyle name="Título 2 3 5" xfId="1618" xr:uid="{00000000-0005-0000-0000-00005A060000}"/>
    <cellStyle name="Título 2 4" xfId="1619" xr:uid="{00000000-0005-0000-0000-00005B060000}"/>
    <cellStyle name="Título 2 4 2" xfId="1620" xr:uid="{00000000-0005-0000-0000-00005C060000}"/>
    <cellStyle name="Título 2 4 3" xfId="1621" xr:uid="{00000000-0005-0000-0000-00005D060000}"/>
    <cellStyle name="Título 2 4 4" xfId="1622" xr:uid="{00000000-0005-0000-0000-00005E060000}"/>
    <cellStyle name="Título 2 4 5" xfId="1623" xr:uid="{00000000-0005-0000-0000-00005F060000}"/>
    <cellStyle name="Título 2 5" xfId="1624" xr:uid="{00000000-0005-0000-0000-000060060000}"/>
    <cellStyle name="Título 2 5 2" xfId="1625" xr:uid="{00000000-0005-0000-0000-000061060000}"/>
    <cellStyle name="Título 2 5 3" xfId="1626" xr:uid="{00000000-0005-0000-0000-000062060000}"/>
    <cellStyle name="Título 2 5 4" xfId="1627" xr:uid="{00000000-0005-0000-0000-000063060000}"/>
    <cellStyle name="Título 2 5 5" xfId="1628" xr:uid="{00000000-0005-0000-0000-000064060000}"/>
    <cellStyle name="Título 2 6" xfId="1629" xr:uid="{00000000-0005-0000-0000-000065060000}"/>
    <cellStyle name="Título 2 6 2" xfId="1630" xr:uid="{00000000-0005-0000-0000-000066060000}"/>
    <cellStyle name="Título 2 7" xfId="1631" xr:uid="{00000000-0005-0000-0000-000067060000}"/>
    <cellStyle name="Título 2 8" xfId="1632" xr:uid="{00000000-0005-0000-0000-000068060000}"/>
    <cellStyle name="Título 2 9" xfId="1633" xr:uid="{00000000-0005-0000-0000-000069060000}"/>
    <cellStyle name="Título 3" xfId="1634" builtinId="18" customBuiltin="1"/>
    <cellStyle name="Título 3 2" xfId="1635" xr:uid="{00000000-0005-0000-0000-00006B060000}"/>
    <cellStyle name="Título 3 2 2" xfId="1636" xr:uid="{00000000-0005-0000-0000-00006C060000}"/>
    <cellStyle name="Título 3 2 3" xfId="1637" xr:uid="{00000000-0005-0000-0000-00006D060000}"/>
    <cellStyle name="Título 3 2 4" xfId="1638" xr:uid="{00000000-0005-0000-0000-00006E060000}"/>
    <cellStyle name="Título 3 2 5" xfId="1639" xr:uid="{00000000-0005-0000-0000-00006F060000}"/>
    <cellStyle name="Título 3 2 6" xfId="1640" xr:uid="{00000000-0005-0000-0000-000070060000}"/>
    <cellStyle name="Título 3 3" xfId="1641" xr:uid="{00000000-0005-0000-0000-000071060000}"/>
    <cellStyle name="Título 3 3 2" xfId="1642" xr:uid="{00000000-0005-0000-0000-000072060000}"/>
    <cellStyle name="Título 3 3 3" xfId="1643" xr:uid="{00000000-0005-0000-0000-000073060000}"/>
    <cellStyle name="Título 3 3 4" xfId="1644" xr:uid="{00000000-0005-0000-0000-000074060000}"/>
    <cellStyle name="Título 3 3 5" xfId="1645" xr:uid="{00000000-0005-0000-0000-000075060000}"/>
    <cellStyle name="Título 3 4" xfId="1646" xr:uid="{00000000-0005-0000-0000-000076060000}"/>
    <cellStyle name="Título 3 4 2" xfId="1647" xr:uid="{00000000-0005-0000-0000-000077060000}"/>
    <cellStyle name="Título 3 4 3" xfId="1648" xr:uid="{00000000-0005-0000-0000-000078060000}"/>
    <cellStyle name="Título 3 4 4" xfId="1649" xr:uid="{00000000-0005-0000-0000-000079060000}"/>
    <cellStyle name="Título 3 4 5" xfId="1650" xr:uid="{00000000-0005-0000-0000-00007A060000}"/>
    <cellStyle name="Título 3 5" xfId="1651" xr:uid="{00000000-0005-0000-0000-00007B060000}"/>
    <cellStyle name="Título 3 5 2" xfId="1652" xr:uid="{00000000-0005-0000-0000-00007C060000}"/>
    <cellStyle name="Título 3 5 3" xfId="1653" xr:uid="{00000000-0005-0000-0000-00007D060000}"/>
    <cellStyle name="Título 3 5 4" xfId="1654" xr:uid="{00000000-0005-0000-0000-00007E060000}"/>
    <cellStyle name="Título 3 5 5" xfId="1655" xr:uid="{00000000-0005-0000-0000-00007F060000}"/>
    <cellStyle name="Título 3 6" xfId="1656" xr:uid="{00000000-0005-0000-0000-000080060000}"/>
    <cellStyle name="Título 3 6 2" xfId="1657" xr:uid="{00000000-0005-0000-0000-000081060000}"/>
    <cellStyle name="Título 3 7" xfId="1658" xr:uid="{00000000-0005-0000-0000-000082060000}"/>
    <cellStyle name="Título 3 8" xfId="1659" xr:uid="{00000000-0005-0000-0000-000083060000}"/>
    <cellStyle name="Título 3 9" xfId="1660" xr:uid="{00000000-0005-0000-0000-000084060000}"/>
    <cellStyle name="Total" xfId="1661" builtinId="25" customBuiltin="1"/>
    <cellStyle name="Total 2" xfId="1662" xr:uid="{00000000-0005-0000-0000-000086060000}"/>
    <cellStyle name="Total 2 2" xfId="1663" xr:uid="{00000000-0005-0000-0000-000087060000}"/>
    <cellStyle name="Total 2 3" xfId="1664" xr:uid="{00000000-0005-0000-0000-000088060000}"/>
    <cellStyle name="Total 2 4" xfId="1665" xr:uid="{00000000-0005-0000-0000-000089060000}"/>
    <cellStyle name="Total 2 5" xfId="1666" xr:uid="{00000000-0005-0000-0000-00008A060000}"/>
    <cellStyle name="Total 2 6" xfId="1667" xr:uid="{00000000-0005-0000-0000-00008B060000}"/>
    <cellStyle name="Total 3" xfId="1668" xr:uid="{00000000-0005-0000-0000-00008C060000}"/>
    <cellStyle name="Total 3 2" xfId="1669" xr:uid="{00000000-0005-0000-0000-00008D060000}"/>
    <cellStyle name="Total 3 3" xfId="1670" xr:uid="{00000000-0005-0000-0000-00008E060000}"/>
    <cellStyle name="Total 3 4" xfId="1671" xr:uid="{00000000-0005-0000-0000-00008F060000}"/>
    <cellStyle name="Total 3 5" xfId="1672" xr:uid="{00000000-0005-0000-0000-000090060000}"/>
    <cellStyle name="Total 4" xfId="1673" xr:uid="{00000000-0005-0000-0000-000091060000}"/>
    <cellStyle name="Total 4 2" xfId="1674" xr:uid="{00000000-0005-0000-0000-000092060000}"/>
    <cellStyle name="Total 4 3" xfId="1675" xr:uid="{00000000-0005-0000-0000-000093060000}"/>
    <cellStyle name="Total 4 4" xfId="1676" xr:uid="{00000000-0005-0000-0000-000094060000}"/>
    <cellStyle name="Total 4 5" xfId="1677" xr:uid="{00000000-0005-0000-0000-000095060000}"/>
    <cellStyle name="Total 5" xfId="1678" xr:uid="{00000000-0005-0000-0000-000096060000}"/>
    <cellStyle name="Total 5 2" xfId="1679" xr:uid="{00000000-0005-0000-0000-000097060000}"/>
    <cellStyle name="Total 5 3" xfId="1680" xr:uid="{00000000-0005-0000-0000-000098060000}"/>
    <cellStyle name="Total 5 4" xfId="1681" xr:uid="{00000000-0005-0000-0000-000099060000}"/>
    <cellStyle name="Total 5 5" xfId="1682" xr:uid="{00000000-0005-0000-0000-00009A060000}"/>
    <cellStyle name="Total 6" xfId="1683" xr:uid="{00000000-0005-0000-0000-00009B060000}"/>
    <cellStyle name="Total 7" xfId="1684" xr:uid="{00000000-0005-0000-0000-00009C060000}"/>
    <cellStyle name="Total 8" xfId="1685" xr:uid="{00000000-0005-0000-0000-00009D060000}"/>
    <cellStyle name="Total 9" xfId="1686" xr:uid="{00000000-0005-0000-0000-00009E060000}"/>
    <cellStyle name="Tytu?" xfId="1687" xr:uid="{00000000-0005-0000-0000-00009F060000}"/>
    <cellStyle name="Tytuł" xfId="1688" xr:uid="{00000000-0005-0000-0000-0000A0060000}"/>
    <cellStyle name="Uwaga" xfId="1689" xr:uid="{00000000-0005-0000-0000-0000A1060000}"/>
    <cellStyle name="Warning Text" xfId="1690" xr:uid="{00000000-0005-0000-0000-0000A2060000}"/>
    <cellStyle name="Warning Text 2" xfId="1691" xr:uid="{00000000-0005-0000-0000-0000A3060000}"/>
    <cellStyle name="Warning Text 3" xfId="1692" xr:uid="{00000000-0005-0000-0000-0000A4060000}"/>
    <cellStyle name="Warning Text 4" xfId="1693" xr:uid="{00000000-0005-0000-0000-0000A5060000}"/>
    <cellStyle name="Warning Text 5" xfId="1694" xr:uid="{00000000-0005-0000-0000-0000A6060000}"/>
    <cellStyle name="Z?e" xfId="1695" xr:uid="{00000000-0005-0000-0000-0000A7060000}"/>
    <cellStyle name="Złe" xfId="1696" xr:uid="{00000000-0005-0000-0000-0000A806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0066"/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21" Type="http://schemas.openxmlformats.org/officeDocument/2006/relationships/externalLink" Target="externalLinks/externalLink4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L" sz="1200" b="0">
                <a:solidFill>
                  <a:schemeClr val="tx2"/>
                </a:solidFill>
              </a:rPr>
              <a:t>Composición por instrumentos</a:t>
            </a:r>
          </a:p>
          <a:p>
            <a:pPr>
              <a:defRPr>
                <a:solidFill>
                  <a:schemeClr val="tx2"/>
                </a:solidFill>
              </a:defRPr>
            </a:pPr>
            <a:r>
              <a:rPr lang="es-CL" sz="1200" b="0">
                <a:solidFill>
                  <a:schemeClr val="tx2"/>
                </a:solidFill>
              </a:rPr>
              <a:t>(M$)</a:t>
            </a:r>
          </a:p>
        </c:rich>
      </c:tx>
      <c:layout>
        <c:manualLayout>
          <c:xMode val="edge"/>
          <c:yMode val="edge"/>
          <c:x val="0.25035950911541466"/>
          <c:y val="0.165295168022030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29685002435166979"/>
          <c:y val="0.39160188614790031"/>
          <c:w val="0.31237989238780534"/>
          <c:h val="0.548216312778313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CB-472F-8F22-7FB2DC2BBCA9}"/>
              </c:ext>
            </c:extLst>
          </c:dPt>
          <c:dPt>
            <c:idx val="1"/>
            <c:bubble3D val="0"/>
            <c:spPr>
              <a:solidFill>
                <a:srgbClr val="00006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CB-472F-8F22-7FB2DC2BBCA9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CB-472F-8F22-7FB2DC2BBC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B54-40EB-BB5B-3841920446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91-48D2-B459-D0076C0B4A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88-4FCF-9A60-CE43CF61596C}"/>
              </c:ext>
            </c:extLst>
          </c:dPt>
          <c:dLbls>
            <c:dLbl>
              <c:idx val="0"/>
              <c:layout>
                <c:manualLayout>
                  <c:x val="0.28511297711402311"/>
                  <c:y val="-6.3027337333117522E-2"/>
                </c:manualLayout>
              </c:layout>
              <c:tx>
                <c:rich>
                  <a:bodyPr/>
                  <a:lstStyle/>
                  <a:p>
                    <a:fld id="{F714698D-9734-460D-82BC-8343F9D07C4D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4E2D2D16-BD41-4260-853D-C10ECFC6D916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1CB-472F-8F22-7FB2DC2BBCA9}"/>
                </c:ext>
              </c:extLst>
            </c:dLbl>
            <c:dLbl>
              <c:idx val="1"/>
              <c:layout>
                <c:manualLayout>
                  <c:x val="0.29826752283270858"/>
                  <c:y val="-4.8528791147766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3328F5E-AF14-48E8-A974-DED65265314C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66B14393-152E-44AC-8E3E-A627F94FE7D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53353478416674"/>
                      <c:h val="0.1179663125739484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1CB-472F-8F22-7FB2DC2BBCA9}"/>
                </c:ext>
              </c:extLst>
            </c:dLbl>
            <c:dLbl>
              <c:idx val="2"/>
              <c:layout>
                <c:manualLayout>
                  <c:x val="-0.14296345798103649"/>
                  <c:y val="5.426623054145807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29DF4D-1177-4468-A970-84FE10756E82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</a:t>
                    </a:r>
                    <a:fld id="{6A08FB79-57BA-4FE3-A612-7FADE8817E71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81672816728168"/>
                      <c:h val="0.134371429209506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1CB-472F-8F22-7FB2DC2BBC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24009840098400981"/>
                      <c:h val="8.76833614948285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B54-40EB-BB5B-384192044611}"/>
                </c:ext>
              </c:extLst>
            </c:dLbl>
            <c:dLbl>
              <c:idx val="4"/>
              <c:layout>
                <c:manualLayout>
                  <c:x val="-0.26936339599616471"/>
                  <c:y val="-9.789874340407436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C95E49-A04B-4AD9-A84E-2CB22C5CA72C}" type="CATEGORYNAM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                  </a:t>
                    </a:r>
                    <a:fld id="{F1FEBC98-3D48-424D-A352-AFF54C93B8A0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90025278205538"/>
                      <c:h val="0.1549456290128403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2B91-48D2-B459-D0076C0B4ACD}"/>
                </c:ext>
              </c:extLst>
            </c:dLbl>
            <c:dLbl>
              <c:idx val="5"/>
              <c:layout>
                <c:manualLayout>
                  <c:x val="0.32625301449864891"/>
                  <c:y val="-3.4797615969605383E-3"/>
                </c:manualLayout>
              </c:layout>
              <c:tx>
                <c:rich>
                  <a:bodyPr/>
                  <a:lstStyle/>
                  <a:p>
                    <a:fld id="{CCEC21C8-94BD-4FA0-8A63-748DBBEA64D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612A662A-1BF2-4A0C-B008-A066FBE0B1EB}" type="PERCENTAGE">
                      <a:rPr lang="en-US" baseline="0"/>
                      <a:pPr/>
                      <a:t>[PORCENTAJE]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C288-4FCF-9A60-CE43CF61596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'Deuda Financiera'!$D$13:$D$17</c:f>
              <c:numCache>
                <c:formatCode>#,##0</c:formatCode>
                <c:ptCount val="5"/>
                <c:pt idx="0">
                  <c:v>182603868.21399999</c:v>
                </c:pt>
                <c:pt idx="1">
                  <c:v>854549533</c:v>
                </c:pt>
                <c:pt idx="2">
                  <c:v>243324297</c:v>
                </c:pt>
                <c:pt idx="3">
                  <c:v>0</c:v>
                </c:pt>
                <c:pt idx="4">
                  <c:v>4518657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1CB-472F-8F22-7FB2DC2BBCA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1CB-472F-8F22-7FB2DC2BBC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CB-472F-8F22-7FB2DC2BBC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A1CB-472F-8F22-7FB2DC2BBCA9}"/>
              </c:ext>
            </c:extLst>
          </c:dPt>
          <c:cat>
            <c:strRef>
              <c:f>'Deuda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[5]Hoja1!$H$2:$H$4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D-A1CB-472F-8F22-7FB2DC2BB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BC-4F4B-9F76-0F3714A6BF6B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BC-4F4B-9F76-0F3714A6BF6B}"/>
              </c:ext>
            </c:extLst>
          </c:dPt>
          <c:dLbls>
            <c:dLbl>
              <c:idx val="0"/>
              <c:layout>
                <c:manualLayout>
                  <c:x val="0.12102238545207415"/>
                  <c:y val="-2.392943783208130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E34F6A18-40CE-4809-969B-71B3449D6D74}" type="CELLREF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[CELLREF]</a:t>
                    </a:fld>
                    <a:endParaRPr lang="en-US" baseline="0"/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>
                    <c15:dlblFTEntry>
                      <c15:txfldGUID>{E34F6A18-40CE-4809-969B-71B3449D6D74}</c15:txfldGUID>
                      <c15:f>'Deuda Financiera'!$G$13</c15:f>
                      <c15:dlblFieldTableCache>
                        <c:ptCount val="1"/>
                        <c:pt idx="0">
                          <c:v>91,52%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2EBC-4F4B-9F76-0F3714A6BF6B}"/>
                </c:ext>
              </c:extLst>
            </c:dLbl>
            <c:dLbl>
              <c:idx val="1"/>
              <c:layout>
                <c:manualLayout>
                  <c:x val="-0.18095926663404996"/>
                  <c:y val="4.6503755996017741E-2"/>
                </c:manualLayout>
              </c:layout>
              <c:tx>
                <c:rich>
                  <a:bodyPr/>
                  <a:lstStyle/>
                  <a:p>
                    <a:fld id="{00A93E60-B4DA-4175-9507-D5D8DC57E8C2}" type="CATEGORYNAME">
                      <a:rPr lang="en-US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90416ED6-A115-40EB-8B40-EFCB29B71D98}" type="CELLREF">
                      <a:rPr lang="en-US" baseline="0"/>
                      <a:pPr/>
                      <a:t>[CELLREF]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377464788732396"/>
                      <c:h val="0.21026329130943899"/>
                    </c:manualLayout>
                  </c15:layout>
                  <c15:dlblFieldTable>
                    <c15:dlblFTEntry>
                      <c15:txfldGUID>{90416ED6-A115-40EB-8B40-EFCB29B71D98}</c15:txfldGUID>
                      <c15:f>'Deuda Financiera'!$G$14</c15:f>
                      <c15:dlblFieldTableCache>
                        <c:ptCount val="1"/>
                        <c:pt idx="0">
                          <c:v>8,48%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2EBC-4F4B-9F76-0F3714A6BF6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'Deuda Financiera'!$H$13:$H$14</c:f>
              <c:numCache>
                <c:formatCode>#,##0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BC-4F4B-9F76-0F3714A6B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>
                <a:solidFill>
                  <a:schemeClr val="tx2"/>
                </a:solidFill>
              </a:rPr>
              <a:t>Composición por</a:t>
            </a:r>
            <a:r>
              <a:rPr lang="es-CL" sz="1200" baseline="0">
                <a:solidFill>
                  <a:schemeClr val="tx2"/>
                </a:solidFill>
              </a:rPr>
              <a:t> tasas</a:t>
            </a:r>
          </a:p>
          <a:p>
            <a:pPr>
              <a:defRPr/>
            </a:pPr>
            <a:r>
              <a:rPr lang="es-CL" sz="1200" baseline="0">
                <a:solidFill>
                  <a:schemeClr val="tx2"/>
                </a:solidFill>
              </a:rPr>
              <a:t>(M$)</a:t>
            </a:r>
            <a:endParaRPr lang="es-CL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chemeClr val="tx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60A-4743-8FC5-E17CDB27E40E}"/>
              </c:ext>
            </c:extLst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60A-4743-8FC5-E17CDB27E40E}"/>
              </c:ext>
            </c:extLst>
          </c:dPt>
          <c:dLbls>
            <c:dLbl>
              <c:idx val="0"/>
              <c:layout>
                <c:manualLayout>
                  <c:x val="7.1674422881892685E-2"/>
                  <c:y val="-9.3734004118328131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6C375A0-65D6-4EF8-8F42-7B204D29C07F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 </a:t>
                    </a:r>
                    <a:fld id="{F5981ECC-95B5-42C1-932C-6B608290968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281340327473657"/>
                      <c:h val="5.01468096719023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60A-4743-8FC5-E17CDB27E40E}"/>
                </c:ext>
              </c:extLst>
            </c:dLbl>
            <c:dLbl>
              <c:idx val="1"/>
              <c:layout>
                <c:manualLayout>
                  <c:x val="-4.7719957672176967E-2"/>
                  <c:y val="1.739171396996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0A93E60-B4DA-4175-9507-D5D8DC57E8C2}" type="CATEGORYNAME">
                      <a:rPr lang="en-US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[NOMBRE DE CATEGORÍA]</a:t>
                    </a:fld>
                    <a:r>
                      <a:rPr lang="en-US" baseline="0"/>
                      <a:t>; </a:t>
                    </a:r>
                    <a:fld id="{007A2E95-6E00-49B0-8AD7-33ECD067C83B}" type="PERCENTAGE">
                      <a:rPr lang="en-US" baseline="0"/>
                      <a:pPr>
                        <a:defRPr>
                          <a:solidFill>
                            <a:schemeClr val="tx2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442663803364722"/>
                      <c:h val="0.1462166566455416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60A-4743-8FC5-E17CDB27E4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'[6]Deuda Financiera'!$F$13:$F$14</c:f>
              <c:strCache>
                <c:ptCount val="2"/>
                <c:pt idx="0">
                  <c:v>Fija</c:v>
                </c:pt>
                <c:pt idx="1">
                  <c:v>Variable</c:v>
                </c:pt>
              </c:strCache>
            </c:strRef>
          </c:cat>
          <c:val>
            <c:numRef>
              <c:f>'[6]Deuda Financiera'!$H$13:$H$14</c:f>
              <c:numCache>
                <c:formatCode>General</c:formatCode>
                <c:ptCount val="2"/>
                <c:pt idx="0">
                  <c:v>1176054590</c:v>
                </c:pt>
                <c:pt idx="1">
                  <c:v>108938199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0A-4743-8FC5-E17CDB27E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Composición por instrumentos</a:t>
            </a:r>
            <a:endParaRPr lang="es-CL" sz="1200">
              <a:solidFill>
                <a:schemeClr val="tx2"/>
              </a:solidFill>
              <a:effectLst/>
            </a:endParaRPr>
          </a:p>
          <a:p>
            <a:pPr>
              <a:defRPr sz="1200"/>
            </a:pPr>
            <a:r>
              <a:rPr lang="es-CL" sz="1200" b="0" i="0" baseline="0">
                <a:solidFill>
                  <a:schemeClr val="tx2"/>
                </a:solidFill>
                <a:effectLst/>
              </a:rPr>
              <a:t>(M$)</a:t>
            </a:r>
            <a:endParaRPr lang="es-CL" sz="1200">
              <a:solidFill>
                <a:schemeClr val="tx2"/>
              </a:solidFill>
              <a:effectLst/>
            </a:endParaRPr>
          </a:p>
        </c:rich>
      </c:tx>
      <c:layout>
        <c:manualLayout>
          <c:xMode val="edge"/>
          <c:yMode val="edge"/>
          <c:x val="0.31624987542751326"/>
          <c:y val="1.17400376651838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pieChart>
        <c:varyColors val="1"/>
        <c:ser>
          <c:idx val="0"/>
          <c:order val="0"/>
          <c:tx>
            <c:v>Serie 1</c:v>
          </c:tx>
          <c:dPt>
            <c:idx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15D-4D38-820A-8F8C1264184D}"/>
              </c:ext>
            </c:extLst>
          </c:dPt>
          <c:dPt>
            <c:idx val="1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15D-4D38-820A-8F8C1264184D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15D-4D38-820A-8F8C1264184D}"/>
              </c:ext>
            </c:extLst>
          </c:dPt>
          <c:dLbls>
            <c:dLbl>
              <c:idx val="0"/>
              <c:layout>
                <c:manualLayout>
                  <c:x val="1.4568253567041525E-3"/>
                  <c:y val="-1.39165666953157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5D-4D38-820A-8F8C1264184D}"/>
                </c:ext>
              </c:extLst>
            </c:dLbl>
            <c:dLbl>
              <c:idx val="1"/>
              <c:layout>
                <c:manualLayout>
                  <c:x val="2.067207343735908E-3"/>
                  <c:y val="-0.310175030557607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5D-4D38-820A-8F8C1264184D}"/>
                </c:ext>
              </c:extLst>
            </c:dLbl>
            <c:dLbl>
              <c:idx val="2"/>
              <c:layout>
                <c:manualLayout>
                  <c:x val="-7.6325029057634428E-2"/>
                  <c:y val="8.15930306699239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5D-4D38-820A-8F8C126418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5D-4D38-820A-8F8C1264184D}"/>
                </c:ext>
              </c:extLst>
            </c:dLbl>
            <c:dLbl>
              <c:idx val="4"/>
              <c:layout>
                <c:manualLayout>
                  <c:x val="-0.19127448835272767"/>
                  <c:y val="1.05625673521107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5D-4D38-820A-8F8C1264184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rgbClr val="000066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'[6]Deuda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'[6]Deuda Financiera'!$C$13:$C$17</c:f>
              <c:numCache>
                <c:formatCode>General</c:formatCode>
                <c:ptCount val="5"/>
                <c:pt idx="0">
                  <c:v>0.1421</c:v>
                </c:pt>
                <c:pt idx="1">
                  <c:v>0.66501999999999994</c:v>
                </c:pt>
                <c:pt idx="2">
                  <c:v>0.18936</c:v>
                </c:pt>
                <c:pt idx="3">
                  <c:v>0</c:v>
                </c:pt>
                <c:pt idx="4">
                  <c:v>3.5000000000000001E-3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5D-4D38-820A-8F8C1264184D}"/>
            </c:ext>
          </c:extLst>
        </c:ser>
        <c:ser>
          <c:idx val="1"/>
          <c:order val="1"/>
          <c:tx>
            <c:v>Serie 2</c:v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115D-4D38-820A-8F8C126418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115D-4D38-820A-8F8C1264184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15D-4D38-820A-8F8C126418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15D-4D38-820A-8F8C126418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15D-4D38-820A-8F8C126418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'[6]Deuda Financiera'!$B$13:$B$17</c:f>
              <c:strCache>
                <c:ptCount val="5"/>
                <c:pt idx="0">
                  <c:v>AFRs</c:v>
                </c:pt>
                <c:pt idx="1">
                  <c:v>Bonos</c:v>
                </c:pt>
                <c:pt idx="2">
                  <c:v>Préstamos</c:v>
                </c:pt>
                <c:pt idx="3">
                  <c:v>Forward </c:v>
                </c:pt>
                <c:pt idx="4">
                  <c:v>Pasivo por arrendamientos</c:v>
                </c:pt>
              </c:strCache>
            </c:strRef>
          </c:cat>
          <c:val>
            <c:numRef>
              <c:f>'[6]Deuda Financiera'!$D$13:$D$17</c:f>
              <c:numCache>
                <c:formatCode>General</c:formatCode>
                <c:ptCount val="5"/>
                <c:pt idx="0">
                  <c:v>182603868.21399999</c:v>
                </c:pt>
                <c:pt idx="1">
                  <c:v>854549533</c:v>
                </c:pt>
                <c:pt idx="2">
                  <c:v>243324297</c:v>
                </c:pt>
                <c:pt idx="3">
                  <c:v>0</c:v>
                </c:pt>
                <c:pt idx="4">
                  <c:v>4515091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15D-4D38-820A-8F8C1264184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657225</xdr:colOff>
      <xdr:row>19</xdr:row>
      <xdr:rowOff>9524</xdr:rowOff>
    </xdr:from>
    <xdr:to>
      <xdr:col>7</xdr:col>
      <xdr:colOff>609600</xdr:colOff>
      <xdr:row>41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D02CE2-8DDB-4C5B-B2A5-D7AE3ACD9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171451</xdr:colOff>
      <xdr:row>19</xdr:row>
      <xdr:rowOff>38099</xdr:rowOff>
    </xdr:from>
    <xdr:to>
      <xdr:col>11</xdr:col>
      <xdr:colOff>1419225</xdr:colOff>
      <xdr:row>42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28A8D1B-B20E-42C7-A776-1F3BD0BB5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95251</xdr:colOff>
      <xdr:row>19</xdr:row>
      <xdr:rowOff>9524</xdr:rowOff>
    </xdr:from>
    <xdr:to>
      <xdr:col>11</xdr:col>
      <xdr:colOff>1343025</xdr:colOff>
      <xdr:row>41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6CFE75-8B36-43E7-ACA6-9FAA44C52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54428</xdr:colOff>
      <xdr:row>19</xdr:row>
      <xdr:rowOff>54426</xdr:rowOff>
    </xdr:from>
    <xdr:to>
      <xdr:col>6</xdr:col>
      <xdr:colOff>662214</xdr:colOff>
      <xdr:row>41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DF012B0-7276-44F7-859B-36AA95E48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866088</xdr:colOff>
      <xdr:row>25</xdr:row>
      <xdr:rowOff>142257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9D595F2-1A7F-B0E2-CD65-DB4CDCCD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00025"/>
          <a:ext cx="5495238" cy="4942857"/>
        </a:xfrm>
        <a:prstGeom prst="rect">
          <a:avLst/>
        </a:prstGeom>
      </xdr:spPr>
    </xdr:pic>
    <xdr:clientData/>
  </xdr:twoCellAnchor>
  <xdr:twoCellAnchor editAs="oneCell">
    <xdr:from>
      <xdr:col>4</xdr:col>
      <xdr:colOff>1076325</xdr:colOff>
      <xdr:row>0</xdr:row>
      <xdr:rowOff>0</xdr:rowOff>
    </xdr:from>
    <xdr:to>
      <xdr:col>12</xdr:col>
      <xdr:colOff>427742</xdr:colOff>
      <xdr:row>29</xdr:row>
      <xdr:rowOff>132608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EFB695-4ED2-2198-0EED-535D68742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0"/>
          <a:ext cx="7066667" cy="59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disco04\Financiero\2018\Informes\Versi&#243;n%20POA\Inf%20Mens.Grupo%20POA%2018%20IFR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E&#176;F&#176;\2019\II%20Trimestre\01%20Fecu%20AA%202T19%20v-0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guasandinascl-my.sharepoint.com/personal/jpalacio_aguasandinas_cl/Documents/Fecu%20IAM%204T2023_v1.xlsx" TargetMode="External"/><Relationship Id="rId1" Type="http://schemas.openxmlformats.org/officeDocument/2006/relationships/externalLinkPath" Target="https://aguasandinascl-my.sharepoint.com/personal/jpalacio_aguasandinas_cl/Documents/Fecu%20IAM%204T2023_v1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3\3%20Septiembre%202023\02%20EEFF%20y%20Notas%20IAM\Fecu%20IAM%203T2023_V0_pas.xlsx" TargetMode="External"/><Relationship Id="rId1" Type="http://schemas.openxmlformats.org/officeDocument/2006/relationships/externalLinkPath" Target="/SISTEMA-CONSOLIDACION/FECU%20%20IFRS/FECUS%20A&#209;O%202023/3%20Septiembre%202023/02%20EEFF%20y%20Notas%20IAM/Fecu%20IAM%203T2023_V0_pas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%20Trimestre\01%20Estados%20Financieros\Word%20y%20excel\01%20Fecu%20AA%201T23v0.xlsx" TargetMode="External"/><Relationship Id="rId1" Type="http://schemas.openxmlformats.org/officeDocument/2006/relationships/externalLinkPath" Target="file:///\\Srvnas\00_gci\E&#176;F&#176;\2023\I%20Trimestre\01%20Estados%20Financieros\Word%20y%20excel\01%20Fecu%20AA%201T23v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E&#176;F&#176;\2023\IV%20Trimestre\02%20Notas\Tesoreria\Perfil%20vencimiento%20contable%20diciemb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1%20Estados%20Financieros\Word%20y%20excel\01%20Fecu%20AA%204T23%20v1.xlsx" TargetMode="External"/><Relationship Id="rId1" Type="http://schemas.openxmlformats.org/officeDocument/2006/relationships/externalLinkPath" Target="file:///\\Srvnas\00_gci\E&#176;F&#176;\2023\IV%20Trimestre\01%20Estados%20Financieros\Word%20y%20excel\01%20Fecu%20AA%204T23%20v1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guasandinascl-my.sharepoint.com/personal/jpalacio_aguasandinas_cl/Documents/Fecu%20IAM%204T2023_rev1_Rev_Miquel.xlsx" TargetMode="External"/><Relationship Id="rId1" Type="http://schemas.openxmlformats.org/officeDocument/2006/relationships/externalLinkPath" Target="https://aguasandinascl-my.sharepoint.com/personal/jpalacio_aguasandinas_cl/Documents/Fecu%20IAM%204T2023_rev1_Rev_Mique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Users\aespinosa\AppData\Local\Microsoft\Windows\INetCache\Content.Outlook\P7XEE4F9\Gr&#225;fico%20Cascada-AR-IV%20Per-AA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nas\00_gci\E&#176;F&#176;\2023\IV%20Trimestre\03%20An&#225;lisis%20Razonado\AA\Tablas%20an&#225;lisis%20razonado%20AA_4T23.xlsx" TargetMode="External"/><Relationship Id="rId1" Type="http://schemas.openxmlformats.org/officeDocument/2006/relationships/externalLinkPath" Target="file:///\\Srvnas\00_gci\E&#176;F&#176;\2023\IV%20Trimestre\03%20An&#225;lisis%20Razonado\AA\Tablas%20an&#225;lisis%20razonado%20AA_4T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2\4.Dic-2022\AR%20IAM\Tablas%20an&#225;lisis%20razonado%20IAM_4T22%20VF.xlsx" TargetMode="External"/><Relationship Id="rId1" Type="http://schemas.openxmlformats.org/officeDocument/2006/relationships/externalLinkPath" Target="/SISTEMA-CONSOLIDACION/FECU%20%20IFRS/FECUS%20A&#209;O%202022/4.Dic-2022/AR%20IAM/Tablas%20an&#225;lisis%20razonado%20IAM_4T22%20VF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nas\00_GCI\E&#176;F&#176;\2019\III%20Trimestre\01%20Estados%20Financieros\Word%20y%20Cuadros\01%20Fecu%20AA%203T19%20v-0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tdisco04\Sistema%20de%20Consolidacion\SISTEMA-CONSOLIDACION\FECU%20%20IFRS\FECUS%20A&#209;O%202023\3%20Septiembre%202023\02%20EEFF%20y%20Notas%20IAM\Fecu%20IAM%203T2023_rev.xlsx" TargetMode="External"/><Relationship Id="rId1" Type="http://schemas.openxmlformats.org/officeDocument/2006/relationships/externalLinkPath" Target="/SISTEMA-CONSOLIDACION/FECU%20%20IFRS/FECUS%20A&#209;O%202023/3%20Septiembre%202023/02%20EEFF%20y%20Notas%20IAM/Fecu%20IAM%203T2023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ité Directores"/>
      <sheetName val="Res Pres"/>
      <sheetName val="ER-Mod"/>
      <sheetName val="Bce-Mod"/>
      <sheetName val="Res Fin"/>
      <sheetName val="Caja-Mod"/>
      <sheetName val="ELAO"/>
      <sheetName val="Indicadores"/>
      <sheetName val="ER Emp"/>
    </sheetNames>
    <sheetDataSet>
      <sheetData sheetId="0"/>
      <sheetData sheetId="1"/>
      <sheetData sheetId="2">
        <row r="2">
          <cell r="A2" t="str">
            <v>CONSOLIDADO GRUPO</v>
          </cell>
          <cell r="B2">
            <v>100212</v>
          </cell>
        </row>
        <row r="3">
          <cell r="B3">
            <v>100200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tt"/>
      <sheetName val="resultado 06"/>
      <sheetName val="Balance_Dic18"/>
      <sheetName val="Resultado_Jun18"/>
      <sheetName val="Balance_Jun19"/>
      <sheetName val="Resultado_Jun19"/>
      <sheetName val="Activo"/>
      <sheetName val="Pasivo"/>
      <sheetName val="Resultado"/>
      <sheetName val="Flujo "/>
      <sheetName val="Eº Cambio Patrimonio"/>
      <sheetName val="Nuevos pronunciamientos"/>
      <sheetName val="Filiales"/>
      <sheetName val="N2.2L ME"/>
      <sheetName val="N2.W Reclasificaciones"/>
      <sheetName val="N3 E y EQ"/>
      <sheetName val="3.1 Equivalentes al efectivo"/>
      <sheetName val="N4 Riesgo de credito"/>
      <sheetName val="N5 CxC EERR"/>
      <sheetName val="N5 CxP EERR"/>
      <sheetName val="N5 Transacciones"/>
      <sheetName val="N5 Directorio y Comité"/>
      <sheetName val="N6 Inventarios "/>
      <sheetName val="N7 Otros activos"/>
      <sheetName val="N8 Activos mant. para venta"/>
      <sheetName val="N9 Nic 38 Intangible"/>
      <sheetName val="N10 Plusvalia"/>
      <sheetName val="N11 Nic 16 PPyE"/>
      <sheetName val="N12 Arrendamiento NIIF16"/>
      <sheetName val="N13 ID e Impto Renta"/>
      <sheetName val="N14.3 Clase de instrumentos fin"/>
      <sheetName val="14.4 AFR, corriente"/>
      <sheetName val="14.4 AFR, no corriente"/>
      <sheetName val="14.4 Prestamos periodo actual"/>
      <sheetName val="14.4 Prestamos periodo anterior"/>
      <sheetName val="14.4 Bonos periodo actual"/>
      <sheetName val="14.4 Bonos periodo anterior"/>
      <sheetName val="14.4 Conciliación SI y SF"/>
      <sheetName val="14.5 Perfil vencimiento"/>
      <sheetName val="14.5 Tasa de interes"/>
      <sheetName val="14.5 Analisis sensibilizacion"/>
      <sheetName val="14.6 Valor justo"/>
      <sheetName val="N15 Acreedores comerciales"/>
      <sheetName val="15.1 Acreed Comer x vencim"/>
      <sheetName val="N16 Provisiones"/>
      <sheetName val="N17 Beneficios empleados"/>
      <sheetName val="N18 Otros pasivos no fin."/>
      <sheetName val="N20 Minoritarios"/>
      <sheetName val="N21 Ingresos ordinario"/>
      <sheetName val="N22 Otros gastos"/>
      <sheetName val="N23 Otros Ing y Gtos"/>
      <sheetName val="N24 Dif. de cambio"/>
      <sheetName val="N25 Resultado Unid Reajuste"/>
      <sheetName val="N26 Segmento"/>
      <sheetName val="N27 Ganancias por acción"/>
      <sheetName val="N28 EEFF Cons e Ind"/>
      <sheetName val="BExRepositorySheet"/>
      <sheetName val="N30 Garantias y Rest"/>
      <sheetName val="N31 Costo Financ"/>
      <sheetName val="N32 Medio ambien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D2">
            <v>43646</v>
          </cell>
        </row>
      </sheetData>
      <sheetData sheetId="7">
        <row r="11">
          <cell r="C11">
            <v>18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6">
          <cell r="C16">
            <v>243112</v>
          </cell>
        </row>
      </sheetData>
      <sheetData sheetId="29" refreshError="1"/>
      <sheetData sheetId="30">
        <row r="22">
          <cell r="E22">
            <v>20432837</v>
          </cell>
        </row>
      </sheetData>
      <sheetData sheetId="31" refreshError="1"/>
      <sheetData sheetId="32" refreshError="1"/>
      <sheetData sheetId="33">
        <row r="27">
          <cell r="L27">
            <v>20432837</v>
          </cell>
        </row>
      </sheetData>
      <sheetData sheetId="34" refreshError="1"/>
      <sheetData sheetId="35">
        <row r="27">
          <cell r="R27">
            <v>16163530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Diciembre 2023"/>
      <sheetName val="Bce Diciembre 2023"/>
      <sheetName val="Resultado Dic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N6 CxC CxP Relacionadas"/>
      <sheetName val="Perdidas de valor"/>
      <sheetName val="N16.6 Derivados"/>
      <sheetName val="CovenantAA"/>
      <sheetName val="CovenantAC"/>
      <sheetName val="notas resultado"/>
      <sheetName val="Hoja1"/>
      <sheetName val="N23 Perdidas de valor"/>
      <sheetName val="Estado de Flujo IAM Conso"/>
    </sheetNames>
    <sheetDataSet>
      <sheetData sheetId="0"/>
      <sheetData sheetId="1"/>
      <sheetData sheetId="2"/>
      <sheetData sheetId="3"/>
      <sheetData sheetId="4">
        <row r="5">
          <cell r="D5">
            <v>110795410</v>
          </cell>
        </row>
      </sheetData>
      <sheetData sheetId="5">
        <row r="5">
          <cell r="D5">
            <v>155416801</v>
          </cell>
        </row>
      </sheetData>
      <sheetData sheetId="6">
        <row r="4">
          <cell r="D4">
            <v>640885886</v>
          </cell>
        </row>
        <row r="20">
          <cell r="D20">
            <v>0</v>
          </cell>
          <cell r="E20">
            <v>0</v>
          </cell>
        </row>
        <row r="28">
          <cell r="D28">
            <v>65.277258000000003</v>
          </cell>
          <cell r="E28">
            <v>41.33</v>
          </cell>
        </row>
      </sheetData>
      <sheetData sheetId="7">
        <row r="5">
          <cell r="D5">
            <v>735405398</v>
          </cell>
        </row>
        <row r="10">
          <cell r="D10">
            <v>739482620</v>
          </cell>
          <cell r="E10">
            <v>657069001</v>
          </cell>
        </row>
        <row r="26">
          <cell r="E26">
            <v>0</v>
          </cell>
        </row>
        <row r="72">
          <cell r="D72">
            <v>180545868</v>
          </cell>
          <cell r="E72">
            <v>164558880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Septiembre 2023"/>
      <sheetName val="Bce Septiembre 2023"/>
      <sheetName val="Resultado Sept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N6 CxC CxP Relacionadas"/>
      <sheetName val="Perdidas de valor"/>
      <sheetName val="N16.6 Derivados"/>
      <sheetName val="CovenantAA"/>
      <sheetName val="CovenantAC"/>
      <sheetName val="notas resultado"/>
      <sheetName val="Hoja1"/>
      <sheetName val="N23 Perdidas de valor"/>
      <sheetName val="Estado de Flujo efectivoAA"/>
    </sheetNames>
    <sheetDataSet>
      <sheetData sheetId="0"/>
      <sheetData sheetId="1"/>
      <sheetData sheetId="2"/>
      <sheetData sheetId="3"/>
      <sheetData sheetId="4">
        <row r="5">
          <cell r="D5">
            <v>147766964</v>
          </cell>
        </row>
      </sheetData>
      <sheetData sheetId="5">
        <row r="5">
          <cell r="D5">
            <v>160304321</v>
          </cell>
        </row>
      </sheetData>
      <sheetData sheetId="6">
        <row r="4">
          <cell r="D4">
            <v>475235519</v>
          </cell>
        </row>
        <row r="20">
          <cell r="F20">
            <v>0</v>
          </cell>
        </row>
      </sheetData>
      <sheetData sheetId="7">
        <row r="5">
          <cell r="D5">
            <v>562603049</v>
          </cell>
        </row>
        <row r="63">
          <cell r="D63">
            <v>0</v>
          </cell>
          <cell r="E63">
            <v>0</v>
          </cell>
        </row>
      </sheetData>
      <sheetData sheetId="8"/>
      <sheetData sheetId="9"/>
      <sheetData sheetId="10"/>
      <sheetData sheetId="11"/>
      <sheetData sheetId="12"/>
      <sheetData sheetId="13">
        <row r="12">
          <cell r="C12">
            <v>114423709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2">
          <cell r="E22">
            <v>108254535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Mar 2022"/>
      <sheetName val="Balance Mar 2023"/>
      <sheetName val="Resultado Mar 2023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CxC CxP Relacionadas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CovenantAA"/>
      <sheetName val="CovenantAC"/>
      <sheetName val="N16.6 Deriv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D5">
            <v>197428678</v>
          </cell>
        </row>
        <row r="50">
          <cell r="D50">
            <v>0</v>
          </cell>
          <cell r="E50">
            <v>0</v>
          </cell>
        </row>
        <row r="51">
          <cell r="D51">
            <v>0</v>
          </cell>
          <cell r="E51">
            <v>0</v>
          </cell>
        </row>
        <row r="52">
          <cell r="D52">
            <v>0</v>
          </cell>
          <cell r="E52">
            <v>0</v>
          </cell>
        </row>
        <row r="53">
          <cell r="D53">
            <v>0</v>
          </cell>
          <cell r="E53">
            <v>0</v>
          </cell>
        </row>
        <row r="55">
          <cell r="D55">
            <v>0</v>
          </cell>
        </row>
        <row r="57">
          <cell r="D57">
            <v>0</v>
          </cell>
          <cell r="E57">
            <v>0</v>
          </cell>
        </row>
        <row r="59">
          <cell r="D59">
            <v>0</v>
          </cell>
          <cell r="E59">
            <v>0</v>
          </cell>
        </row>
        <row r="60">
          <cell r="D60">
            <v>0</v>
          </cell>
          <cell r="E60">
            <v>0</v>
          </cell>
        </row>
        <row r="61">
          <cell r="D61">
            <v>0</v>
          </cell>
          <cell r="E61">
            <v>0</v>
          </cell>
        </row>
        <row r="64">
          <cell r="D64">
            <v>0</v>
          </cell>
          <cell r="E64">
            <v>0</v>
          </cell>
        </row>
        <row r="65">
          <cell r="D65">
            <v>0</v>
          </cell>
          <cell r="E65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ble"/>
    </sheetNames>
    <sheetDataSet>
      <sheetData sheetId="0">
        <row r="7">
          <cell r="C7">
            <v>1029651903</v>
          </cell>
        </row>
        <row r="8">
          <cell r="C8">
            <v>6547124167</v>
          </cell>
          <cell r="E8">
            <v>21026854677</v>
          </cell>
          <cell r="G8">
            <v>40165694796</v>
          </cell>
          <cell r="I8">
            <v>37549422264</v>
          </cell>
          <cell r="K8">
            <v>77314771310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Dic 2022"/>
      <sheetName val="Balance Dic 2023"/>
      <sheetName val="Resultado Dic 2023"/>
      <sheetName val="Activo"/>
      <sheetName val="Pasivo"/>
      <sheetName val="Resultado"/>
      <sheetName val="Flujo"/>
      <sheetName val="Cambio Patrimonio"/>
      <sheetName val="N2.1 Pronunciamientos 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N14.2 IFRS 16"/>
      <sheetName val="Nota 14 Adic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6.6 Derivados"/>
      <sheetName val="N17 Acreed. Comerciales"/>
      <sheetName val="N17.1 Acreed. Comerc. por Venc."/>
      <sheetName val="N18 Otras Prov."/>
      <sheetName val="N19 Beneficios Empleados"/>
      <sheetName val="N20 Pas. No Financiero"/>
      <sheetName val="N21 Partic. No Controladoras"/>
      <sheetName val="N23 Perdidas de valor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3 Garantías y Rest."/>
      <sheetName val="N35 Costos finan. Capital."/>
      <sheetName val="N36 Medio ambiente"/>
      <sheetName val="N6 CxC CxP Relacionadas"/>
      <sheetName val="CovenantAA"/>
      <sheetName val="Covenant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3">
          <cell r="C13">
            <v>108938199</v>
          </cell>
        </row>
        <row r="14">
          <cell r="C14">
            <v>134386098</v>
          </cell>
        </row>
        <row r="15">
          <cell r="C15">
            <v>848806707</v>
          </cell>
        </row>
        <row r="16">
          <cell r="C16">
            <v>182603868</v>
          </cell>
        </row>
        <row r="17">
          <cell r="C17">
            <v>0</v>
          </cell>
        </row>
        <row r="18">
          <cell r="C18">
            <v>5742826</v>
          </cell>
        </row>
        <row r="19">
          <cell r="C19">
            <v>4515091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>
        <row r="36">
          <cell r="C36">
            <v>1752912</v>
          </cell>
        </row>
        <row r="39">
          <cell r="C39">
            <v>148838</v>
          </cell>
        </row>
      </sheetData>
      <sheetData sheetId="31" refreshError="1"/>
      <sheetData sheetId="32" refreshError="1"/>
      <sheetData sheetId="33" refreshError="1"/>
      <sheetData sheetId="34" refreshError="1">
        <row r="22">
          <cell r="E22">
            <v>107083857</v>
          </cell>
        </row>
        <row r="23">
          <cell r="E23">
            <v>20737763</v>
          </cell>
        </row>
        <row r="24">
          <cell r="E24">
            <v>29507</v>
          </cell>
        </row>
        <row r="25">
          <cell r="E25">
            <v>-8305</v>
          </cell>
        </row>
        <row r="26">
          <cell r="E26">
            <v>27573979</v>
          </cell>
        </row>
        <row r="27">
          <cell r="E27">
            <v>0</v>
          </cell>
        </row>
        <row r="29">
          <cell r="E29">
            <v>1752912</v>
          </cell>
        </row>
        <row r="42">
          <cell r="E42">
            <v>136240440</v>
          </cell>
        </row>
        <row r="43">
          <cell r="E43">
            <v>785857777</v>
          </cell>
        </row>
        <row r="44">
          <cell r="E44">
            <v>11721373</v>
          </cell>
        </row>
        <row r="45">
          <cell r="E45">
            <v>30468592</v>
          </cell>
        </row>
        <row r="46">
          <cell r="E46">
            <v>155029889</v>
          </cell>
        </row>
        <row r="47">
          <cell r="E47">
            <v>5742826</v>
          </cell>
        </row>
        <row r="49">
          <cell r="E49">
            <v>2762179</v>
          </cell>
        </row>
      </sheetData>
      <sheetData sheetId="35" refreshError="1"/>
      <sheetData sheetId="36" refreshError="1">
        <row r="22">
          <cell r="I22">
            <v>107083857</v>
          </cell>
        </row>
      </sheetData>
      <sheetData sheetId="37" refreshError="1">
        <row r="21">
          <cell r="G21">
            <v>106368440</v>
          </cell>
          <cell r="H21">
            <v>29872000</v>
          </cell>
        </row>
      </sheetData>
      <sheetData sheetId="38" refreshError="1">
        <row r="23">
          <cell r="K23">
            <v>20758965</v>
          </cell>
        </row>
      </sheetData>
      <sheetData sheetId="39" refreshError="1">
        <row r="23">
          <cell r="I23">
            <v>6903050</v>
          </cell>
          <cell r="J23">
            <v>0</v>
          </cell>
          <cell r="K23">
            <v>821144692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Diciembre 2023"/>
      <sheetName val="Bce Diciembre 2023"/>
      <sheetName val="Resultado Dic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4 Adicional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Perdidas de valor"/>
      <sheetName val="N16.6 Derivados"/>
      <sheetName val="CovenantAA"/>
      <sheetName val="CovenantAC"/>
      <sheetName val="N6 CxC CxP Relacionadas"/>
      <sheetName val="notas resultado"/>
      <sheetName val="Hoja1"/>
      <sheetName val="N23 Perdidas de valor"/>
      <sheetName val="Estado de Flujo IAM Conso"/>
    </sheetNames>
    <sheetDataSet>
      <sheetData sheetId="0">
        <row r="409">
          <cell r="K409">
            <v>-242795450</v>
          </cell>
        </row>
      </sheetData>
      <sheetData sheetId="1" refreshError="1"/>
      <sheetData sheetId="2" refreshError="1"/>
      <sheetData sheetId="3" refreshError="1"/>
      <sheetData sheetId="4">
        <row r="5">
          <cell r="D5">
            <v>110795410</v>
          </cell>
          <cell r="E5">
            <v>180545868</v>
          </cell>
        </row>
        <row r="6">
          <cell r="D6">
            <v>0</v>
          </cell>
          <cell r="E6">
            <v>0</v>
          </cell>
        </row>
        <row r="7">
          <cell r="D7">
            <v>7180555</v>
          </cell>
          <cell r="E7">
            <v>4986319</v>
          </cell>
        </row>
        <row r="8">
          <cell r="D8">
            <v>132009297</v>
          </cell>
          <cell r="E8">
            <v>122775410</v>
          </cell>
        </row>
        <row r="9">
          <cell r="D9">
            <v>14381</v>
          </cell>
          <cell r="E9">
            <v>23032</v>
          </cell>
        </row>
        <row r="10">
          <cell r="D10">
            <v>12812483</v>
          </cell>
          <cell r="E10">
            <v>12790532</v>
          </cell>
        </row>
        <row r="11">
          <cell r="D11">
            <v>13965510</v>
          </cell>
          <cell r="E11">
            <v>2124811</v>
          </cell>
        </row>
        <row r="13">
          <cell r="D13">
            <v>3414</v>
          </cell>
          <cell r="E13">
            <v>2812292</v>
          </cell>
        </row>
        <row r="16">
          <cell r="D16">
            <v>7895863</v>
          </cell>
          <cell r="E16">
            <v>7895863</v>
          </cell>
        </row>
        <row r="17">
          <cell r="D17">
            <v>1481897</v>
          </cell>
          <cell r="E17">
            <v>1212641</v>
          </cell>
        </row>
        <row r="18">
          <cell r="D18">
            <v>3778724</v>
          </cell>
          <cell r="E18">
            <v>2816288</v>
          </cell>
        </row>
        <row r="19">
          <cell r="D19">
            <v>0</v>
          </cell>
          <cell r="E19">
            <v>0</v>
          </cell>
        </row>
        <row r="20">
          <cell r="D20">
            <v>231747713</v>
          </cell>
          <cell r="E20">
            <v>233018981</v>
          </cell>
        </row>
        <row r="21">
          <cell r="D21">
            <v>305171468</v>
          </cell>
          <cell r="E21">
            <v>305171468</v>
          </cell>
        </row>
        <row r="22">
          <cell r="D22">
            <v>1805370932</v>
          </cell>
          <cell r="E22">
            <v>1713897351</v>
          </cell>
        </row>
        <row r="23">
          <cell r="D23">
            <v>4310355</v>
          </cell>
          <cell r="E23">
            <v>3998976</v>
          </cell>
        </row>
        <row r="24">
          <cell r="D24">
            <v>59938069</v>
          </cell>
          <cell r="E24">
            <v>57860363</v>
          </cell>
        </row>
      </sheetData>
      <sheetData sheetId="5">
        <row r="5">
          <cell r="D5">
            <v>155416801</v>
          </cell>
          <cell r="E5">
            <v>74347139</v>
          </cell>
        </row>
        <row r="6">
          <cell r="D6">
            <v>1756478</v>
          </cell>
          <cell r="E6">
            <v>1402307</v>
          </cell>
        </row>
        <row r="7">
          <cell r="D7">
            <v>177869738</v>
          </cell>
          <cell r="E7">
            <v>138730009</v>
          </cell>
        </row>
        <row r="8">
          <cell r="D8">
            <v>1583500</v>
          </cell>
          <cell r="E8">
            <v>5010030</v>
          </cell>
        </row>
        <row r="9">
          <cell r="D9">
            <v>735780</v>
          </cell>
          <cell r="E9">
            <v>17987684</v>
          </cell>
        </row>
        <row r="10">
          <cell r="D10">
            <v>245000</v>
          </cell>
          <cell r="E10">
            <v>4802933</v>
          </cell>
        </row>
        <row r="11">
          <cell r="D11">
            <v>5985824</v>
          </cell>
          <cell r="E11">
            <v>5694492</v>
          </cell>
        </row>
        <row r="12">
          <cell r="D12">
            <v>19041225</v>
          </cell>
          <cell r="E12">
            <v>18651560</v>
          </cell>
        </row>
        <row r="17">
          <cell r="D17">
            <v>1125060897</v>
          </cell>
          <cell r="E17">
            <v>1222905987</v>
          </cell>
        </row>
        <row r="18">
          <cell r="D18">
            <v>2762179</v>
          </cell>
          <cell r="E18">
            <v>2667950</v>
          </cell>
        </row>
        <row r="19">
          <cell r="D19">
            <v>1181871</v>
          </cell>
          <cell r="E19">
            <v>1188753</v>
          </cell>
        </row>
        <row r="20">
          <cell r="D20">
            <v>0</v>
          </cell>
          <cell r="E20">
            <v>0</v>
          </cell>
        </row>
        <row r="21">
          <cell r="D21">
            <v>1823379</v>
          </cell>
          <cell r="E21">
            <v>1735645</v>
          </cell>
        </row>
        <row r="22">
          <cell r="D22">
            <v>15207944</v>
          </cell>
          <cell r="E22">
            <v>16239000</v>
          </cell>
        </row>
        <row r="23">
          <cell r="D23">
            <v>22322555</v>
          </cell>
          <cell r="E23">
            <v>22128779</v>
          </cell>
        </row>
        <row r="24">
          <cell r="D24">
            <v>7454642</v>
          </cell>
          <cell r="E24">
            <v>8041634</v>
          </cell>
        </row>
        <row r="29">
          <cell r="D29">
            <v>468358402</v>
          </cell>
          <cell r="E29">
            <v>468358402</v>
          </cell>
        </row>
        <row r="30">
          <cell r="D30">
            <v>203895643.88104901</v>
          </cell>
          <cell r="E30">
            <v>181974048</v>
          </cell>
        </row>
        <row r="31">
          <cell r="D31">
            <v>0</v>
          </cell>
          <cell r="E31">
            <v>0</v>
          </cell>
        </row>
        <row r="32">
          <cell r="D32">
            <v>-37268415</v>
          </cell>
          <cell r="E32">
            <v>-37268415</v>
          </cell>
        </row>
        <row r="33">
          <cell r="D33">
            <v>80864058.224631608</v>
          </cell>
          <cell r="E33">
            <v>78730413</v>
          </cell>
        </row>
        <row r="35">
          <cell r="D35">
            <v>442178569</v>
          </cell>
          <cell r="E35">
            <v>418601845</v>
          </cell>
        </row>
      </sheetData>
      <sheetData sheetId="6">
        <row r="4">
          <cell r="D4">
            <v>640855854</v>
          </cell>
          <cell r="E4">
            <v>580468054</v>
          </cell>
        </row>
        <row r="5">
          <cell r="D5">
            <v>-85362422</v>
          </cell>
          <cell r="E5">
            <v>-79574329</v>
          </cell>
        </row>
        <row r="6">
          <cell r="D6">
            <v>-76753766</v>
          </cell>
          <cell r="E6">
            <v>-66542438</v>
          </cell>
        </row>
        <row r="7">
          <cell r="D7">
            <v>-77697080</v>
          </cell>
          <cell r="E7">
            <v>-74820917</v>
          </cell>
        </row>
        <row r="8">
          <cell r="D8">
            <v>-149720736</v>
          </cell>
          <cell r="E8">
            <v>-126198987</v>
          </cell>
        </row>
        <row r="9">
          <cell r="D9">
            <v>3336545</v>
          </cell>
          <cell r="E9">
            <v>-1521833</v>
          </cell>
        </row>
        <row r="11">
          <cell r="D11">
            <v>15948850</v>
          </cell>
          <cell r="E11">
            <v>16022604</v>
          </cell>
        </row>
        <row r="12">
          <cell r="D12">
            <v>-48853914</v>
          </cell>
          <cell r="E12">
            <v>-36613290</v>
          </cell>
        </row>
        <row r="13">
          <cell r="D13">
            <v>-12316346</v>
          </cell>
          <cell r="E13">
            <v>-13830357</v>
          </cell>
        </row>
        <row r="14">
          <cell r="D14">
            <v>1945731</v>
          </cell>
          <cell r="E14">
            <v>-853529</v>
          </cell>
        </row>
        <row r="15">
          <cell r="D15">
            <v>-45658660</v>
          </cell>
          <cell r="E15">
            <v>-115252738</v>
          </cell>
        </row>
        <row r="18">
          <cell r="D18">
            <v>-33886203</v>
          </cell>
          <cell r="E18">
            <v>2577179</v>
          </cell>
        </row>
        <row r="25">
          <cell r="D25">
            <v>66560594</v>
          </cell>
          <cell r="E25">
            <v>42539263</v>
          </cell>
        </row>
      </sheetData>
      <sheetData sheetId="7">
        <row r="5">
          <cell r="D5">
            <v>735405398</v>
          </cell>
          <cell r="E5">
            <v>651478729</v>
          </cell>
        </row>
        <row r="6">
          <cell r="D6">
            <v>0</v>
          </cell>
          <cell r="E6">
            <v>0</v>
          </cell>
        </row>
        <row r="7">
          <cell r="D7">
            <v>0</v>
          </cell>
          <cell r="E7">
            <v>0</v>
          </cell>
        </row>
        <row r="8">
          <cell r="D8">
            <v>0</v>
          </cell>
          <cell r="E8">
            <v>0</v>
          </cell>
        </row>
        <row r="9">
          <cell r="D9">
            <v>4077222</v>
          </cell>
          <cell r="E9">
            <v>5590272</v>
          </cell>
        </row>
        <row r="11">
          <cell r="D11">
            <v>-273936432</v>
          </cell>
          <cell r="E11">
            <v>-237818122</v>
          </cell>
        </row>
        <row r="12">
          <cell r="D12">
            <v>0</v>
          </cell>
          <cell r="E12">
            <v>0</v>
          </cell>
        </row>
        <row r="13">
          <cell r="D13">
            <v>-80397420</v>
          </cell>
          <cell r="E13">
            <v>-66702229</v>
          </cell>
        </row>
        <row r="14">
          <cell r="D14">
            <v>-8671982</v>
          </cell>
          <cell r="E14">
            <v>-6002433</v>
          </cell>
        </row>
        <row r="15">
          <cell r="D15">
            <v>-50568111</v>
          </cell>
          <cell r="E15">
            <v>-47875512</v>
          </cell>
        </row>
        <row r="17">
          <cell r="D17">
            <v>0</v>
          </cell>
          <cell r="E17">
            <v>0</v>
          </cell>
        </row>
        <row r="18">
          <cell r="D18">
            <v>0</v>
          </cell>
          <cell r="E18">
            <v>0</v>
          </cell>
        </row>
        <row r="19">
          <cell r="D19">
            <v>-48001819</v>
          </cell>
          <cell r="E19">
            <v>-36617942</v>
          </cell>
        </row>
        <row r="20">
          <cell r="D20">
            <v>16092060</v>
          </cell>
          <cell r="E20">
            <v>12776309</v>
          </cell>
        </row>
        <row r="21">
          <cell r="D21">
            <v>-53505003</v>
          </cell>
          <cell r="E21">
            <v>-30117090</v>
          </cell>
        </row>
        <row r="22">
          <cell r="D22">
            <v>-12571148</v>
          </cell>
          <cell r="E22">
            <v>-3654564</v>
          </cell>
        </row>
        <row r="33">
          <cell r="D33">
            <v>5001192</v>
          </cell>
          <cell r="E33">
            <v>646541</v>
          </cell>
        </row>
        <row r="34">
          <cell r="D34">
            <v>-149645668</v>
          </cell>
          <cell r="E34">
            <v>-161366864</v>
          </cell>
        </row>
        <row r="35">
          <cell r="D35">
            <v>0</v>
          </cell>
          <cell r="E35">
            <v>0</v>
          </cell>
        </row>
        <row r="36">
          <cell r="D36">
            <v>-4494138</v>
          </cell>
          <cell r="E36">
            <v>-5180385</v>
          </cell>
        </row>
        <row r="37">
          <cell r="E37">
            <v>0</v>
          </cell>
        </row>
        <row r="48">
          <cell r="D48">
            <v>-863678</v>
          </cell>
        </row>
        <row r="54">
          <cell r="D54">
            <v>11415588</v>
          </cell>
          <cell r="E54">
            <v>58736661</v>
          </cell>
        </row>
        <row r="55">
          <cell r="E55">
            <v>30000000</v>
          </cell>
        </row>
        <row r="58">
          <cell r="D58">
            <v>-70379714</v>
          </cell>
          <cell r="E58">
            <v>-73747049</v>
          </cell>
        </row>
        <row r="62">
          <cell r="D62">
            <v>-88706805</v>
          </cell>
          <cell r="E62">
            <v>-74159334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8">
          <cell r="C8">
            <v>438228</v>
          </cell>
          <cell r="E8">
            <v>1318250</v>
          </cell>
          <cell r="G8">
            <v>1635333</v>
          </cell>
          <cell r="I8">
            <v>978008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  <sheetName val="Gastos"/>
      <sheetName val="Hoja1"/>
    </sheetNames>
    <sheetDataSet>
      <sheetData sheetId="0"/>
      <sheetData sheetId="1"/>
      <sheetData sheetId="2">
        <row r="2">
          <cell r="F2" t="str">
            <v>Préstamos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por Segmento"/>
      <sheetName val="Resultados Trim"/>
      <sheetName val="Resultados Trimestrales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AFRs</v>
          </cell>
          <cell r="C13">
            <v>0.1421</v>
          </cell>
          <cell r="D13">
            <v>182603868.21399999</v>
          </cell>
          <cell r="F13" t="str">
            <v>Fija</v>
          </cell>
          <cell r="H13">
            <v>1176054590</v>
          </cell>
        </row>
        <row r="14">
          <cell r="B14" t="str">
            <v>Bonos</v>
          </cell>
          <cell r="C14">
            <v>0.66501999999999994</v>
          </cell>
          <cell r="D14">
            <v>854549533</v>
          </cell>
          <cell r="F14" t="str">
            <v>Variable</v>
          </cell>
          <cell r="H14">
            <v>108938199</v>
          </cell>
        </row>
        <row r="15">
          <cell r="B15" t="str">
            <v>Préstamos</v>
          </cell>
          <cell r="C15">
            <v>0.18936</v>
          </cell>
          <cell r="D15">
            <v>243324297</v>
          </cell>
        </row>
        <row r="16">
          <cell r="B16" t="str">
            <v xml:space="preserve">Forward </v>
          </cell>
          <cell r="C16">
            <v>0</v>
          </cell>
          <cell r="D16">
            <v>0</v>
          </cell>
        </row>
        <row r="17">
          <cell r="B17" t="str">
            <v>Pasivo por arrendamientos</v>
          </cell>
          <cell r="C17">
            <v>3.5000000000000001E-3</v>
          </cell>
          <cell r="D17">
            <v>4515091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ExRepositorySheet"/>
      <sheetName val="Resultados"/>
      <sheetName val="Resultados Trim"/>
      <sheetName val="Resultados por Segmento"/>
      <sheetName val="Estado de situación financiera"/>
      <sheetName val="Deuda Financiera"/>
      <sheetName val="Flujo de efectivo"/>
      <sheetName val="Indicadores"/>
      <sheetName val="cálculos"/>
      <sheetName val="Balance"/>
      <sheetName val="Resultado"/>
      <sheetName val="Flujo"/>
      <sheetName val="Anualizados"/>
      <sheetName val="Valor ac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E6">
            <v>285099776</v>
          </cell>
        </row>
        <row r="7">
          <cell r="E7">
            <v>2216722469</v>
          </cell>
        </row>
        <row r="10">
          <cell r="E10">
            <v>249136827</v>
          </cell>
        </row>
        <row r="11">
          <cell r="E11">
            <v>1138295178</v>
          </cell>
        </row>
        <row r="12">
          <cell r="E12">
            <v>420425370</v>
          </cell>
        </row>
        <row r="13">
          <cell r="E13">
            <v>693964870</v>
          </cell>
        </row>
        <row r="18">
          <cell r="E18">
            <v>506458487</v>
          </cell>
        </row>
        <row r="19">
          <cell r="E19">
            <v>314277183</v>
          </cell>
        </row>
        <row r="21">
          <cell r="E21">
            <v>-27866277</v>
          </cell>
        </row>
        <row r="22">
          <cell r="E22">
            <v>115505657</v>
          </cell>
        </row>
        <row r="23">
          <cell r="E23">
            <v>48989724</v>
          </cell>
        </row>
        <row r="24">
          <cell r="E24">
            <v>-19665778</v>
          </cell>
          <cell r="J24">
            <v>36613290</v>
          </cell>
        </row>
        <row r="25">
          <cell r="E25">
            <v>-69205148</v>
          </cell>
        </row>
        <row r="28">
          <cell r="E28">
            <v>229945799</v>
          </cell>
        </row>
        <row r="29">
          <cell r="E29">
            <v>-157671083</v>
          </cell>
        </row>
        <row r="30">
          <cell r="E30">
            <v>-85680689</v>
          </cell>
        </row>
        <row r="32">
          <cell r="E32">
            <v>177964853</v>
          </cell>
        </row>
        <row r="39">
          <cell r="J39">
            <v>41320156</v>
          </cell>
        </row>
        <row r="40">
          <cell r="J40">
            <v>692879659</v>
          </cell>
        </row>
        <row r="42">
          <cell r="C42">
            <v>20.490749999999998</v>
          </cell>
        </row>
        <row r="43">
          <cell r="C43">
            <v>17.535</v>
          </cell>
        </row>
        <row r="50">
          <cell r="D50">
            <v>506458487</v>
          </cell>
        </row>
        <row r="51">
          <cell r="D51">
            <v>-53627449</v>
          </cell>
        </row>
        <row r="52">
          <cell r="D52">
            <v>-55539198</v>
          </cell>
        </row>
        <row r="53">
          <cell r="D53">
            <v>-69205148</v>
          </cell>
        </row>
        <row r="54">
          <cell r="D54">
            <v>-15694733</v>
          </cell>
        </row>
        <row r="55">
          <cell r="D55">
            <v>-120210655</v>
          </cell>
        </row>
        <row r="58">
          <cell r="D58">
            <v>5082667</v>
          </cell>
        </row>
        <row r="59">
          <cell r="D59">
            <v>-27866277</v>
          </cell>
        </row>
        <row r="60">
          <cell r="E60">
            <v>811363</v>
          </cell>
        </row>
        <row r="61">
          <cell r="E61">
            <v>-54969177</v>
          </cell>
        </row>
        <row r="63">
          <cell r="E63">
            <v>3636892</v>
          </cell>
        </row>
        <row r="66">
          <cell r="E66">
            <v>-19665778</v>
          </cell>
        </row>
        <row r="67">
          <cell r="C67">
            <v>0</v>
          </cell>
        </row>
        <row r="68">
          <cell r="E68">
            <v>50221270</v>
          </cell>
        </row>
      </sheetData>
      <sheetData sheetId="9"/>
      <sheetData sheetId="10"/>
      <sheetData sheetId="11"/>
      <sheetData sheetId="12">
        <row r="13">
          <cell r="C13">
            <v>117895530</v>
          </cell>
        </row>
      </sheetData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tt"/>
      <sheetName val="Balance_Dic18"/>
      <sheetName val="Resultado_Sept18"/>
      <sheetName val="Balance_Sept19"/>
      <sheetName val="Resultado_Sept19"/>
      <sheetName val="Activo"/>
      <sheetName val="Pasivo"/>
      <sheetName val="Resultado"/>
      <sheetName val="Flujo "/>
      <sheetName val="Eº Cambio Patrimonio"/>
      <sheetName val="Nuevos pronunciamientos"/>
      <sheetName val="Filiales"/>
      <sheetName val="N2.2L ME"/>
      <sheetName val="N2.W Reclasificaciones"/>
      <sheetName val="N3 E y EQ"/>
      <sheetName val="3.1 Equivalentes al efectivo"/>
      <sheetName val="N4 Riesgo de credito"/>
      <sheetName val="Nota 5.1 Estratificación "/>
      <sheetName val="N5 CxC EERR"/>
      <sheetName val="N5 CxP EERR"/>
      <sheetName val="N5 Transacciones"/>
      <sheetName val="N5 Directorio y Comité"/>
      <sheetName val="N6 Inventarios "/>
      <sheetName val="N7 Otros activos"/>
      <sheetName val="N8 Activos mant. para venta"/>
      <sheetName val="N9 Nic 38 Intangible"/>
      <sheetName val="N10 Plusvalia"/>
      <sheetName val="N11 Nic 16 PPyE"/>
      <sheetName val="N12 Arrendamiento NIIF16"/>
      <sheetName val="N13 ID e Impto Renta"/>
      <sheetName val="N14.3 Clase de instrumentos fin"/>
      <sheetName val="14.4 AFR, corriente"/>
      <sheetName val="14.4 AFR, no corriente"/>
      <sheetName val="14.4 Prestamos periodo actual"/>
      <sheetName val="14.4 Prestamos periodo anterior"/>
      <sheetName val="14.4 Bonos periodo actual"/>
      <sheetName val="14.4 Bonos periodo anterior"/>
      <sheetName val="14.4 Conciliación SI y SF"/>
      <sheetName val="14.5 Perfil vencimiento"/>
      <sheetName val="14.5 Tasa de interes"/>
      <sheetName val="14.5 Analisis sensibilizacion"/>
      <sheetName val="14.6 Valor justo"/>
      <sheetName val="N15 Acreedores comerciales"/>
      <sheetName val="15.1 Acreed Comer x vencim"/>
      <sheetName val="N16 Provisiones"/>
      <sheetName val="N17 Beneficios empleados"/>
      <sheetName val="N18 Otros pasivos no fin."/>
      <sheetName val="N20 Minoritarios"/>
      <sheetName val="N21 Ingresos ordinario"/>
      <sheetName val="N22 Otros gastos"/>
      <sheetName val="resultado 09"/>
      <sheetName val="N23 Otros Ing y Gtos"/>
      <sheetName val="N24 Dif. de cambio"/>
      <sheetName val="N25 Resultado Unid Reajuste"/>
      <sheetName val="N26 Segmento"/>
      <sheetName val="N27 Ganancias por acción"/>
      <sheetName val="N28 EEFF Cons e Ind"/>
      <sheetName val="BExRepositorySheet"/>
      <sheetName val="N30 Garantias y Rest"/>
      <sheetName val="N31 Costo Financ"/>
      <sheetName val="N32 Medio ambiente"/>
    </sheetNames>
    <sheetDataSet>
      <sheetData sheetId="0"/>
      <sheetData sheetId="1"/>
      <sheetData sheetId="2"/>
      <sheetData sheetId="3"/>
      <sheetData sheetId="4"/>
      <sheetData sheetId="5">
        <row r="2">
          <cell r="D2">
            <v>43738</v>
          </cell>
        </row>
        <row r="13">
          <cell r="C13">
            <v>9</v>
          </cell>
        </row>
      </sheetData>
      <sheetData sheetId="6">
        <row r="5">
          <cell r="C5">
            <v>15</v>
          </cell>
        </row>
      </sheetData>
      <sheetData sheetId="7">
        <row r="2">
          <cell r="D2">
            <v>43738</v>
          </cell>
        </row>
      </sheetData>
      <sheetData sheetId="8">
        <row r="4">
          <cell r="D4">
            <v>492197681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4">
          <cell r="C14">
            <v>43738</v>
          </cell>
        </row>
      </sheetData>
      <sheetData sheetId="29"/>
      <sheetData sheetId="30">
        <row r="22">
          <cell r="E22">
            <v>11704698</v>
          </cell>
        </row>
      </sheetData>
      <sheetData sheetId="31"/>
      <sheetData sheetId="32"/>
      <sheetData sheetId="33">
        <row r="27">
          <cell r="K27">
            <v>11704698</v>
          </cell>
        </row>
      </sheetData>
      <sheetData sheetId="34"/>
      <sheetData sheetId="35">
        <row r="27">
          <cell r="R27">
            <v>18490095.289300997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2">
          <cell r="H2" t="str">
            <v>Etiquetas de fila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 Dic 2022"/>
      <sheetName val="Resultado Septiembre 2023"/>
      <sheetName val="Bce Septiembre 2023"/>
      <sheetName val="Resultado Septiembre 2022"/>
      <sheetName val="Activo"/>
      <sheetName val="Pasivo"/>
      <sheetName val="Resultado"/>
      <sheetName val="Flujo"/>
      <sheetName val="Cambio Patrimonio"/>
      <sheetName val="N2.2 Filiales"/>
      <sheetName val="N2.2 Moneda Extranjera"/>
      <sheetName val="N2.2 Reclasificaciones"/>
      <sheetName val="N3 Perfil Vencimiento"/>
      <sheetName val="N3 Tasa de interes"/>
      <sheetName val="N3 Análisis de Sensibilización"/>
      <sheetName val="N4 Efectivo y Eq."/>
      <sheetName val="N4.1 Equivalente Efe."/>
      <sheetName val="N5 Deudores y Riesgo de Crédito"/>
      <sheetName val="N5 Estratificación Deudores"/>
      <sheetName val="N6 CxC Relacionadas"/>
      <sheetName val="N6 CxP Relacionadas"/>
      <sheetName val="N6 Transacciones EERR"/>
      <sheetName val="N6 Directorio y Comité"/>
      <sheetName val="N7 Inventarios"/>
      <sheetName val="N8 Impuestos Corrientes"/>
      <sheetName val="N9 Mantenido Venta"/>
      <sheetName val="N11 Intangibles"/>
      <sheetName val="N12 Plusvalía"/>
      <sheetName val="N13 PPE"/>
      <sheetName val="N14 Arrendamiento NIIF16"/>
      <sheetName val="IFRS 16"/>
      <sheetName val="N15 Impuestos Dif."/>
      <sheetName val="N16.3 Clases Instrum. Finan."/>
      <sheetName val="N16.4 AFR actual"/>
      <sheetName val="N16.4 Préstamos CP"/>
      <sheetName val="N16.4 Préstamos LP"/>
      <sheetName val="N16.4 Bonos CP"/>
      <sheetName val="N16.4 Bonos LP"/>
      <sheetName val="N16.4 Conciliación SI y SF"/>
      <sheetName val="N16.5 Valor Justo"/>
      <sheetName val="N17 Acreed. Comerciales"/>
      <sheetName val="N17.1 Acreed. Comerc. por Venc."/>
      <sheetName val="N18 Otras Prov."/>
      <sheetName val="N19 Beneficios Empleados"/>
      <sheetName val="N20 Pas. No Financiero"/>
      <sheetName val="N22 Partic. No Controladoras"/>
      <sheetName val="N24 Ingresos Ordinarios"/>
      <sheetName val="N25 Otros Gtos. Nat."/>
      <sheetName val="N26 Otros Ingresos y Gtos."/>
      <sheetName val="N27 Efecto Moneda Extran."/>
      <sheetName val="N28 Rdo. Unid. Reajuste"/>
      <sheetName val="N29 Operaciones Discontinuadas"/>
      <sheetName val="N30 Segmentos"/>
      <sheetName val="N31 Ganancia por acción"/>
      <sheetName val="N32 EEFF filiales"/>
      <sheetName val="N34 Garantías y Rest."/>
      <sheetName val="N35 Costos finan. Capital."/>
      <sheetName val="N36 Medio ambiente"/>
      <sheetName val="pronunciamientos contables "/>
      <sheetName val="N6 CxC CxP Relacionadas"/>
      <sheetName val="Perdidas de valor"/>
      <sheetName val="N16.6 Derivados"/>
      <sheetName val="CovenantAA"/>
      <sheetName val="CovenantAC"/>
      <sheetName val="notas resultado"/>
      <sheetName val="Hoja1"/>
      <sheetName val="N23 Perdidas de valor"/>
      <sheetName val="Estado de Flujo efectivoAA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D4">
            <v>475235519</v>
          </cell>
          <cell r="E4">
            <v>418745502</v>
          </cell>
        </row>
        <row r="5">
          <cell r="E5">
            <v>-57345763</v>
          </cell>
        </row>
        <row r="6">
          <cell r="E6">
            <v>-47863813</v>
          </cell>
        </row>
        <row r="7">
          <cell r="E7">
            <v>-55474301</v>
          </cell>
        </row>
        <row r="8">
          <cell r="E8">
            <v>-91768948</v>
          </cell>
        </row>
        <row r="9">
          <cell r="E9">
            <v>-1481148</v>
          </cell>
        </row>
        <row r="11">
          <cell r="D11">
            <v>12898623</v>
          </cell>
          <cell r="E11">
            <v>9467235</v>
          </cell>
        </row>
        <row r="12">
          <cell r="D12">
            <v>-36684053</v>
          </cell>
          <cell r="E12">
            <v>-24587769</v>
          </cell>
        </row>
        <row r="13">
          <cell r="D13">
            <v>-10816911</v>
          </cell>
          <cell r="E13">
            <v>-11078618</v>
          </cell>
        </row>
        <row r="14">
          <cell r="D14">
            <v>2514886</v>
          </cell>
          <cell r="E14">
            <v>-1715551</v>
          </cell>
        </row>
        <row r="15">
          <cell r="D15">
            <v>-29887119</v>
          </cell>
          <cell r="E15">
            <v>-92260692</v>
          </cell>
        </row>
        <row r="18">
          <cell r="D18">
            <v>-25131820</v>
          </cell>
          <cell r="E18">
            <v>8782203</v>
          </cell>
        </row>
        <row r="25">
          <cell r="E25">
            <v>27161258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"/>
  <sheetViews>
    <sheetView workbookViewId="0"/>
  </sheetViews>
  <sheetFormatPr baseColWidth="10" defaultRowHeight="12.75"/>
  <sheetData/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  <pageSetUpPr fitToPage="1"/>
  </sheetPr>
  <dimension ref="A3:G19"/>
  <sheetViews>
    <sheetView showGridLines="0" workbookViewId="0">
      <selection activeCell="B3" sqref="B3:F16"/>
    </sheetView>
  </sheetViews>
  <sheetFormatPr baseColWidth="10" defaultColWidth="11.42578125" defaultRowHeight="15" customHeight="1"/>
  <cols>
    <col min="1" max="1" width="8" style="16" bestFit="1" customWidth="1"/>
    <col min="2" max="2" width="35.28515625" style="16" bestFit="1" customWidth="1"/>
    <col min="3" max="3" width="8.5703125" style="16" customWidth="1"/>
    <col min="4" max="5" width="13.7109375" style="16" customWidth="1"/>
    <col min="6" max="16384" width="11.42578125" style="16"/>
  </cols>
  <sheetData>
    <row r="3" spans="1:7" ht="15" customHeight="1" thickBot="1">
      <c r="B3" s="49"/>
      <c r="C3" s="42"/>
      <c r="D3" s="462" t="s">
        <v>403</v>
      </c>
      <c r="E3" s="42" t="str">
        <f>+'Estado de situación financiera'!D3</f>
        <v xml:space="preserve">         Dic. 22</v>
      </c>
    </row>
    <row r="4" spans="1:7" ht="15" customHeight="1">
      <c r="B4" s="5" t="s">
        <v>64</v>
      </c>
      <c r="C4" s="4"/>
    </row>
    <row r="5" spans="1:7" ht="15" customHeight="1">
      <c r="A5" s="50"/>
      <c r="B5" s="4" t="s">
        <v>194</v>
      </c>
      <c r="C5" s="43" t="s">
        <v>65</v>
      </c>
      <c r="D5" s="51">
        <f>cálculos!K7</f>
        <v>0.76</v>
      </c>
      <c r="E5" s="51">
        <f>cálculos!M7</f>
        <v>1.22</v>
      </c>
      <c r="F5" s="57">
        <v>1.19</v>
      </c>
      <c r="G5" s="438">
        <f>+E5-F5</f>
        <v>3.0000000000000027E-2</v>
      </c>
    </row>
    <row r="6" spans="1:7" ht="15" customHeight="1">
      <c r="A6" s="50"/>
      <c r="B6" s="4" t="s">
        <v>181</v>
      </c>
      <c r="C6" s="43" t="s">
        <v>65</v>
      </c>
      <c r="D6" s="51">
        <f>cálculos!K10</f>
        <v>0.31</v>
      </c>
      <c r="E6" s="51">
        <f>cálculos!M10</f>
        <v>0.68</v>
      </c>
      <c r="F6" s="57">
        <v>0.66</v>
      </c>
      <c r="G6" s="438">
        <f t="shared" ref="G6:G16" si="0">+E6-F6</f>
        <v>2.0000000000000018E-2</v>
      </c>
    </row>
    <row r="7" spans="1:7" ht="15" customHeight="1">
      <c r="B7" s="5" t="s">
        <v>66</v>
      </c>
      <c r="C7" s="4"/>
      <c r="D7" s="53"/>
      <c r="E7" s="53"/>
      <c r="F7" s="401"/>
      <c r="G7" s="438">
        <f t="shared" si="0"/>
        <v>0</v>
      </c>
    </row>
    <row r="8" spans="1:7" ht="15" customHeight="1">
      <c r="B8" s="4" t="s">
        <v>182</v>
      </c>
      <c r="C8" s="43" t="s">
        <v>65</v>
      </c>
      <c r="D8" s="51">
        <f>cálculos!K14</f>
        <v>1.33</v>
      </c>
      <c r="E8" s="51">
        <f>cálculos!M14</f>
        <v>1.39</v>
      </c>
      <c r="F8" s="57">
        <v>1.84</v>
      </c>
      <c r="G8" s="438">
        <f>+E8-F8</f>
        <v>-0.45000000000000018</v>
      </c>
    </row>
    <row r="9" spans="1:7" ht="15" customHeight="1">
      <c r="A9" s="50"/>
      <c r="B9" s="4" t="s">
        <v>67</v>
      </c>
      <c r="C9" s="43" t="s">
        <v>65</v>
      </c>
      <c r="D9" s="51">
        <f>cálculos!K17</f>
        <v>0.23569999999999999</v>
      </c>
      <c r="E9" s="51">
        <f>cálculos!M17</f>
        <v>0.17299999999999999</v>
      </c>
      <c r="F9" s="57">
        <v>0.18</v>
      </c>
      <c r="G9" s="438">
        <f t="shared" si="0"/>
        <v>-7.0000000000000062E-3</v>
      </c>
    </row>
    <row r="10" spans="1:7" ht="15" customHeight="1">
      <c r="A10" s="50"/>
      <c r="B10" s="4" t="s">
        <v>68</v>
      </c>
      <c r="C10" s="43" t="s">
        <v>65</v>
      </c>
      <c r="D10" s="51">
        <f>cálculos!K20</f>
        <v>0.76429999999999998</v>
      </c>
      <c r="E10" s="51">
        <f>cálculos!M20</f>
        <v>0.82699999999999996</v>
      </c>
      <c r="F10" s="57">
        <v>0.82</v>
      </c>
      <c r="G10" s="438">
        <f t="shared" si="0"/>
        <v>7.0000000000000062E-3</v>
      </c>
    </row>
    <row r="11" spans="1:7" ht="15" customHeight="1">
      <c r="A11" s="50"/>
      <c r="B11" s="4" t="s">
        <v>211</v>
      </c>
      <c r="C11" s="43" t="s">
        <v>65</v>
      </c>
      <c r="D11" s="51">
        <f>cálculos!K23</f>
        <v>4.3899999999999997</v>
      </c>
      <c r="E11" s="51">
        <f>cálculos!M23</f>
        <v>3.22</v>
      </c>
      <c r="F11" s="57">
        <v>3.26</v>
      </c>
      <c r="G11" s="438">
        <f t="shared" si="0"/>
        <v>-3.9999999999999591E-2</v>
      </c>
    </row>
    <row r="12" spans="1:7" ht="15" customHeight="1">
      <c r="B12" s="5" t="s">
        <v>69</v>
      </c>
      <c r="C12" s="4"/>
      <c r="D12" s="53"/>
      <c r="E12" s="53"/>
      <c r="F12" s="401"/>
      <c r="G12" s="438">
        <f t="shared" si="0"/>
        <v>0</v>
      </c>
    </row>
    <row r="13" spans="1:7" ht="36">
      <c r="A13" s="50"/>
      <c r="B13" s="54" t="s">
        <v>212</v>
      </c>
      <c r="C13" s="43" t="s">
        <v>70</v>
      </c>
      <c r="D13" s="51">
        <f>cálculos!K39</f>
        <v>9.27</v>
      </c>
      <c r="E13" s="51">
        <f>cálculos!M39</f>
        <v>5.96</v>
      </c>
      <c r="F13" s="57">
        <v>10.14</v>
      </c>
      <c r="G13" s="438">
        <f>+E13-F13</f>
        <v>-4.1800000000000006</v>
      </c>
    </row>
    <row r="14" spans="1:7" ht="15" customHeight="1">
      <c r="A14" s="50"/>
      <c r="B14" s="4" t="s">
        <v>213</v>
      </c>
      <c r="C14" s="43" t="s">
        <v>70</v>
      </c>
      <c r="D14" s="51">
        <f>cálculos!K43</f>
        <v>2.44</v>
      </c>
      <c r="E14" s="51">
        <f>cálculos!M43</f>
        <v>1.6</v>
      </c>
      <c r="F14" s="435">
        <v>3.7</v>
      </c>
      <c r="G14" s="438">
        <f t="shared" si="0"/>
        <v>-2.1</v>
      </c>
    </row>
    <row r="15" spans="1:7" ht="15" customHeight="1">
      <c r="A15" s="50"/>
      <c r="B15" s="4" t="s">
        <v>214</v>
      </c>
      <c r="C15" s="43" t="s">
        <v>71</v>
      </c>
      <c r="D15" s="51">
        <f>cálculos!K46</f>
        <v>65.28</v>
      </c>
      <c r="E15" s="51">
        <f>cálculos!M46</f>
        <v>41.32</v>
      </c>
      <c r="F15" s="57">
        <v>13.93</v>
      </c>
      <c r="G15" s="438">
        <f t="shared" si="0"/>
        <v>27.39</v>
      </c>
    </row>
    <row r="16" spans="1:7" ht="15" customHeight="1">
      <c r="B16" s="4" t="s">
        <v>199</v>
      </c>
      <c r="C16" s="43" t="s">
        <v>70</v>
      </c>
      <c r="D16" s="51">
        <f>cálculos!K50</f>
        <v>5.89</v>
      </c>
      <c r="E16" s="51">
        <f>cálculos!M50</f>
        <v>8</v>
      </c>
      <c r="F16" s="57">
        <v>6.51</v>
      </c>
      <c r="G16" s="438">
        <f t="shared" si="0"/>
        <v>1.4900000000000002</v>
      </c>
    </row>
    <row r="17" spans="2:7" ht="15" customHeight="1">
      <c r="G17" s="52"/>
    </row>
    <row r="19" spans="2:7" ht="15" customHeight="1">
      <c r="B19" s="456" t="s">
        <v>392</v>
      </c>
    </row>
  </sheetData>
  <pageMargins left="0.74803149606299213" right="0.74803149606299213" top="0.98425196850393704" bottom="0.98425196850393704" header="0" footer="0"/>
  <pageSetup scale="89" orientation="portrait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0066"/>
    <pageSetUpPr fitToPage="1"/>
  </sheetPr>
  <dimension ref="A1:V206"/>
  <sheetViews>
    <sheetView showGridLines="0" topLeftCell="A19" zoomScale="106" zoomScaleNormal="106" workbookViewId="0">
      <selection activeCell="D29" sqref="D29"/>
    </sheetView>
  </sheetViews>
  <sheetFormatPr baseColWidth="10" defaultColWidth="11.42578125" defaultRowHeight="15" customHeight="1"/>
  <cols>
    <col min="1" max="1" width="3.85546875" style="149" customWidth="1"/>
    <col min="2" max="2" width="51.140625" style="149" customWidth="1"/>
    <col min="3" max="3" width="16.28515625" style="149" customWidth="1"/>
    <col min="4" max="4" width="18.85546875" style="149" bestFit="1" customWidth="1"/>
    <col min="5" max="5" width="18.5703125" style="149" bestFit="1" customWidth="1"/>
    <col min="6" max="6" width="16.7109375" style="149" customWidth="1"/>
    <col min="7" max="7" width="4.5703125" style="149" customWidth="1"/>
    <col min="8" max="8" width="31.5703125" style="149" customWidth="1"/>
    <col min="9" max="9" width="7.140625" style="149" customWidth="1"/>
    <col min="10" max="10" width="21" style="149" bestFit="1" customWidth="1"/>
    <col min="11" max="11" width="11.140625" style="149" customWidth="1"/>
    <col min="12" max="12" width="17.85546875" style="149" customWidth="1"/>
    <col min="13" max="13" width="11.140625" style="149" customWidth="1"/>
    <col min="14" max="14" width="1.7109375" style="149" customWidth="1"/>
    <col min="15" max="15" width="10.7109375" style="149" customWidth="1"/>
    <col min="16" max="16" width="11.7109375" style="150" customWidth="1"/>
    <col min="17" max="17" width="10.7109375" style="149" bestFit="1" customWidth="1"/>
    <col min="18" max="18" width="11.85546875" style="149" bestFit="1" customWidth="1"/>
    <col min="19" max="16384" width="11.42578125" style="149"/>
  </cols>
  <sheetData>
    <row r="1" spans="2:22" ht="15" customHeight="1">
      <c r="B1" s="148" t="s">
        <v>172</v>
      </c>
    </row>
    <row r="2" spans="2:22" ht="15" customHeight="1">
      <c r="B2" s="148" t="s">
        <v>171</v>
      </c>
      <c r="K2" s="153"/>
      <c r="T2" s="151"/>
    </row>
    <row r="3" spans="2:22" ht="15" customHeight="1" thickBot="1">
      <c r="H3" s="152" t="s">
        <v>4</v>
      </c>
      <c r="J3" s="153"/>
      <c r="K3" s="153"/>
      <c r="L3" s="153"/>
      <c r="R3" s="154"/>
    </row>
    <row r="4" spans="2:22" ht="15" customHeight="1" thickBot="1">
      <c r="B4" s="155" t="s">
        <v>6</v>
      </c>
      <c r="C4" s="156"/>
      <c r="D4" s="157" t="s">
        <v>393</v>
      </c>
      <c r="E4" s="157" t="s">
        <v>335</v>
      </c>
      <c r="F4" s="157" t="s">
        <v>329</v>
      </c>
      <c r="H4" s="148" t="s">
        <v>5</v>
      </c>
      <c r="J4" s="158" t="str">
        <f>+D4</f>
        <v>Dic-23</v>
      </c>
      <c r="L4" s="158" t="str">
        <f>+E4</f>
        <v>Dic-22</v>
      </c>
      <c r="O4" s="159"/>
      <c r="R4" s="160"/>
      <c r="S4" s="160"/>
      <c r="T4" s="161"/>
      <c r="U4" s="160"/>
      <c r="V4" s="160"/>
    </row>
    <row r="5" spans="2:22" ht="15" customHeight="1" thickBot="1">
      <c r="B5" s="162"/>
      <c r="C5" s="163"/>
      <c r="D5" s="163"/>
      <c r="E5" s="164"/>
      <c r="F5" s="165"/>
      <c r="H5" s="166" t="s">
        <v>7</v>
      </c>
      <c r="J5" s="153"/>
      <c r="K5" s="153"/>
      <c r="M5" s="153"/>
      <c r="P5" s="167"/>
    </row>
    <row r="6" spans="2:22" ht="15" customHeight="1">
      <c r="B6" s="168" t="s">
        <v>47</v>
      </c>
      <c r="C6" s="169" t="s">
        <v>362</v>
      </c>
      <c r="D6" s="170">
        <f>+Balance!D15</f>
        <v>276781050</v>
      </c>
      <c r="E6" s="171">
        <f>+Balance!E15</f>
        <v>326058264</v>
      </c>
      <c r="F6" s="172">
        <f>+[7]cálculos!E6</f>
        <v>285099776</v>
      </c>
      <c r="H6" s="148" t="s">
        <v>9</v>
      </c>
      <c r="J6" s="153"/>
      <c r="K6" s="153"/>
      <c r="M6" s="153"/>
      <c r="O6" s="173"/>
    </row>
    <row r="7" spans="2:22" ht="15" customHeight="1">
      <c r="B7" s="168" t="s">
        <v>48</v>
      </c>
      <c r="C7" s="169" t="s">
        <v>362</v>
      </c>
      <c r="D7" s="170">
        <f>+Balance!D26</f>
        <v>2419695021</v>
      </c>
      <c r="E7" s="171">
        <f>+Balance!E26</f>
        <v>2325871931</v>
      </c>
      <c r="F7" s="172">
        <f>+[7]cálculos!E7</f>
        <v>2216722469</v>
      </c>
      <c r="H7" s="174" t="s">
        <v>45</v>
      </c>
      <c r="I7" s="149" t="s">
        <v>10</v>
      </c>
      <c r="J7" s="175">
        <f>+D6</f>
        <v>276781050</v>
      </c>
      <c r="K7" s="176">
        <f>ROUND(J7/J8,2)</f>
        <v>0.76</v>
      </c>
      <c r="L7" s="175">
        <f>+E6</f>
        <v>326058264</v>
      </c>
      <c r="M7" s="176">
        <f>ROUND(L7/L8,2)</f>
        <v>1.22</v>
      </c>
      <c r="N7" s="177"/>
      <c r="O7" s="178">
        <f>ROUND((K7/M7)-1,3)</f>
        <v>-0.377</v>
      </c>
      <c r="P7" s="179">
        <f>ROUND((J7/L7)-1,3)</f>
        <v>-0.151</v>
      </c>
      <c r="Q7" s="153">
        <f>+J7-L7</f>
        <v>-49277214</v>
      </c>
    </row>
    <row r="8" spans="2:22" ht="15" customHeight="1">
      <c r="B8" s="180" t="s">
        <v>11</v>
      </c>
      <c r="C8" s="181"/>
      <c r="D8" s="182">
        <f>SUM(D6:D7)</f>
        <v>2696476071</v>
      </c>
      <c r="E8" s="183">
        <f>SUM(E6:E7)</f>
        <v>2651930195</v>
      </c>
      <c r="F8" s="183">
        <f>SUM(F6:F7)</f>
        <v>2501822245</v>
      </c>
      <c r="H8" s="149" t="s">
        <v>46</v>
      </c>
      <c r="J8" s="153">
        <f>+D10</f>
        <v>362634346</v>
      </c>
      <c r="K8" s="153"/>
      <c r="L8" s="153">
        <f>+E10</f>
        <v>266626154</v>
      </c>
      <c r="M8" s="403"/>
      <c r="O8" s="178"/>
      <c r="P8" s="179">
        <f>ROUND((J8/L8)-1,3)</f>
        <v>0.36</v>
      </c>
      <c r="Q8" s="153">
        <f>+J8-L8</f>
        <v>96008192</v>
      </c>
    </row>
    <row r="9" spans="2:22" ht="15" customHeight="1">
      <c r="B9" s="168"/>
      <c r="C9" s="163"/>
      <c r="D9" s="170"/>
      <c r="E9" s="171"/>
      <c r="F9" s="172"/>
      <c r="H9" s="148" t="s">
        <v>12</v>
      </c>
      <c r="J9" s="153"/>
      <c r="K9" s="153"/>
      <c r="L9" s="153"/>
      <c r="M9" s="153"/>
      <c r="O9" s="185"/>
    </row>
    <row r="10" spans="2:22" ht="15" customHeight="1">
      <c r="B10" s="168" t="s">
        <v>50</v>
      </c>
      <c r="C10" s="169" t="s">
        <v>362</v>
      </c>
      <c r="D10" s="170">
        <f>+Balance!D44</f>
        <v>362634346</v>
      </c>
      <c r="E10" s="171">
        <f>+Balance!E44</f>
        <v>266626154</v>
      </c>
      <c r="F10" s="172">
        <f>+[7]cálculos!E10</f>
        <v>249136827</v>
      </c>
      <c r="H10" s="174" t="s">
        <v>55</v>
      </c>
      <c r="I10" s="149" t="s">
        <v>10</v>
      </c>
      <c r="J10" s="175">
        <f>+D33</f>
        <v>110795410</v>
      </c>
      <c r="K10" s="176">
        <f>ROUND(J10/J11,2)</f>
        <v>0.31</v>
      </c>
      <c r="L10" s="175">
        <f>+Balance!E6</f>
        <v>180545868</v>
      </c>
      <c r="M10" s="176">
        <f>ROUND(L10/L11,2)</f>
        <v>0.68</v>
      </c>
      <c r="N10" s="177"/>
      <c r="O10" s="178">
        <f>ROUND((K10/M10)-1,4)</f>
        <v>-0.54410000000000003</v>
      </c>
      <c r="P10" s="179">
        <f>ROUND((J10/L10)-1,3)</f>
        <v>-0.38600000000000001</v>
      </c>
      <c r="Q10" s="153">
        <f>+J10-L10</f>
        <v>-69750458</v>
      </c>
      <c r="R10" s="186"/>
    </row>
    <row r="11" spans="2:22" ht="15" customHeight="1" thickBot="1">
      <c r="B11" s="168" t="s">
        <v>49</v>
      </c>
      <c r="C11" s="169" t="s">
        <v>362</v>
      </c>
      <c r="D11" s="170">
        <f>+Balance!D54</f>
        <v>1175813467</v>
      </c>
      <c r="E11" s="171">
        <f>+Balance!E54</f>
        <v>1274907748</v>
      </c>
      <c r="F11" s="172">
        <f>+[7]cálculos!E11</f>
        <v>1138295178</v>
      </c>
      <c r="H11" s="149" t="s">
        <v>46</v>
      </c>
      <c r="J11" s="153">
        <f>+D10</f>
        <v>362634346</v>
      </c>
      <c r="K11" s="153"/>
      <c r="L11" s="153">
        <f>+E10</f>
        <v>266626154</v>
      </c>
      <c r="M11" s="153"/>
      <c r="O11" s="184"/>
      <c r="P11" s="179">
        <f>ROUND((J11/L11)-1,3)</f>
        <v>0.36</v>
      </c>
      <c r="Q11" s="153">
        <f>+J11-L11</f>
        <v>96008192</v>
      </c>
    </row>
    <row r="12" spans="2:22" ht="15" customHeight="1" thickBot="1">
      <c r="B12" s="168" t="s">
        <v>51</v>
      </c>
      <c r="C12" s="169" t="s">
        <v>362</v>
      </c>
      <c r="D12" s="170">
        <f>+Balance!D64</f>
        <v>442178569</v>
      </c>
      <c r="E12" s="171">
        <f>+Balance!E64</f>
        <v>418601845</v>
      </c>
      <c r="F12" s="172">
        <f>+[7]cálculos!E12</f>
        <v>420425370</v>
      </c>
      <c r="H12" s="166" t="s">
        <v>13</v>
      </c>
      <c r="J12" s="153"/>
      <c r="K12" s="153"/>
      <c r="L12" s="153"/>
      <c r="M12" s="153"/>
      <c r="O12" s="184"/>
    </row>
    <row r="13" spans="2:22" ht="15" customHeight="1">
      <c r="B13" s="168" t="s">
        <v>98</v>
      </c>
      <c r="C13" s="169" t="s">
        <v>362</v>
      </c>
      <c r="D13" s="170">
        <f>+Balance!D63</f>
        <v>715849689.1056807</v>
      </c>
      <c r="E13" s="171">
        <f>+Balance!E63</f>
        <v>691794448</v>
      </c>
      <c r="F13" s="172">
        <f>+[7]cálculos!E13</f>
        <v>693964870</v>
      </c>
      <c r="H13" s="148" t="s">
        <v>14</v>
      </c>
      <c r="J13" s="153"/>
      <c r="K13" s="153"/>
      <c r="L13" s="153"/>
      <c r="M13" s="153"/>
      <c r="O13" s="184"/>
    </row>
    <row r="14" spans="2:22" ht="15" customHeight="1" thickBot="1">
      <c r="B14" s="187" t="s">
        <v>11</v>
      </c>
      <c r="C14" s="188"/>
      <c r="D14" s="189">
        <f>SUM(D10:D13)</f>
        <v>2696476071.1056805</v>
      </c>
      <c r="E14" s="190">
        <f>SUM(E10:E13)</f>
        <v>2651930195</v>
      </c>
      <c r="F14" s="190">
        <f>SUM(F10:F13)</f>
        <v>2501822245</v>
      </c>
      <c r="H14" s="174" t="s">
        <v>15</v>
      </c>
      <c r="I14" s="149" t="s">
        <v>10</v>
      </c>
      <c r="J14" s="175">
        <f>+D10+D11</f>
        <v>1538447813</v>
      </c>
      <c r="K14" s="191">
        <f>ROUND(J14/J15,2)</f>
        <v>1.33</v>
      </c>
      <c r="L14" s="175">
        <f>+E10+E11</f>
        <v>1541533902</v>
      </c>
      <c r="M14" s="191">
        <f>ROUND(L14/L15,2)</f>
        <v>1.39</v>
      </c>
      <c r="N14" s="192"/>
      <c r="O14" s="178">
        <f>ROUND((K14/M14)-1,4)</f>
        <v>-4.3200000000000002E-2</v>
      </c>
      <c r="P14" s="179">
        <f>ROUND((J14/L14)-1,3)</f>
        <v>-2E-3</v>
      </c>
      <c r="Q14" s="153">
        <f>+J14-L14</f>
        <v>-3086089</v>
      </c>
      <c r="R14" s="149">
        <v>-25195970</v>
      </c>
    </row>
    <row r="15" spans="2:22" ht="15" customHeight="1" thickBot="1">
      <c r="B15" s="193"/>
      <c r="D15" s="194">
        <f>+D8-D14</f>
        <v>-0.10568046569824219</v>
      </c>
      <c r="E15" s="194">
        <f>+E8-E14</f>
        <v>0</v>
      </c>
      <c r="F15" s="194">
        <v>0</v>
      </c>
      <c r="H15" s="149" t="s">
        <v>96</v>
      </c>
      <c r="J15" s="153">
        <f>+D13+D12</f>
        <v>1158028258.1056807</v>
      </c>
      <c r="K15" s="153"/>
      <c r="L15" s="153">
        <f>+E13+E12</f>
        <v>1110396293</v>
      </c>
      <c r="M15" s="153"/>
      <c r="O15" s="184"/>
      <c r="P15" s="179">
        <f>ROUND((J15/L15)-1,3)</f>
        <v>4.2999999999999997E-2</v>
      </c>
      <c r="Q15" s="153">
        <f>+J15-L15</f>
        <v>47631965.105680704</v>
      </c>
      <c r="R15" s="149">
        <v>28700585</v>
      </c>
    </row>
    <row r="16" spans="2:22" ht="15" customHeight="1">
      <c r="B16" s="155" t="s">
        <v>16</v>
      </c>
      <c r="C16" s="156"/>
      <c r="D16" s="195" t="str">
        <f>+D4</f>
        <v>Dic-23</v>
      </c>
      <c r="E16" s="157" t="s">
        <v>335</v>
      </c>
      <c r="F16" s="195" t="s">
        <v>329</v>
      </c>
      <c r="H16" s="148" t="s">
        <v>17</v>
      </c>
      <c r="J16" s="153"/>
      <c r="K16" s="153"/>
      <c r="L16" s="153"/>
      <c r="M16" s="153"/>
      <c r="O16" s="173"/>
    </row>
    <row r="17" spans="1:20" ht="15" customHeight="1">
      <c r="B17" s="162"/>
      <c r="C17" s="196"/>
      <c r="D17" s="197"/>
      <c r="E17" s="197"/>
      <c r="F17" s="198"/>
      <c r="H17" s="199" t="s">
        <v>46</v>
      </c>
      <c r="I17" s="149" t="s">
        <v>10</v>
      </c>
      <c r="J17" s="175">
        <f>+D10</f>
        <v>362634346</v>
      </c>
      <c r="K17" s="191">
        <f>ROUND(J17/J18,4)</f>
        <v>0.23569999999999999</v>
      </c>
      <c r="L17" s="175">
        <f>+E10</f>
        <v>266626154</v>
      </c>
      <c r="M17" s="191">
        <f>ROUND(L17/L18,4)</f>
        <v>0.17299999999999999</v>
      </c>
      <c r="N17" s="192"/>
      <c r="O17" s="178">
        <f>ROUND((K17/M17)-1,4)</f>
        <v>0.3624</v>
      </c>
      <c r="P17" s="179">
        <f>ROUND((J17/L17)-1,3)</f>
        <v>0.36</v>
      </c>
      <c r="Q17" s="153">
        <f>+J17-L17</f>
        <v>96008192</v>
      </c>
      <c r="R17" s="178"/>
    </row>
    <row r="18" spans="1:20" ht="15" customHeight="1">
      <c r="B18" s="168" t="s">
        <v>59</v>
      </c>
      <c r="C18" s="169" t="s">
        <v>362</v>
      </c>
      <c r="D18" s="197">
        <f>+C51</f>
        <v>640855854</v>
      </c>
      <c r="E18" s="197">
        <f>+D51</f>
        <v>580468054</v>
      </c>
      <c r="F18" s="172">
        <f>+[7]cálculos!E18</f>
        <v>506458487</v>
      </c>
      <c r="H18" s="149" t="s">
        <v>18</v>
      </c>
      <c r="J18" s="153">
        <f>+D10+D11</f>
        <v>1538447813</v>
      </c>
      <c r="K18" s="153"/>
      <c r="L18" s="153">
        <f>+E10+E11</f>
        <v>1541533902</v>
      </c>
      <c r="M18" s="153"/>
      <c r="O18" s="184"/>
      <c r="P18" s="179">
        <f>ROUND((J18/L18)-1,3)</f>
        <v>-2E-3</v>
      </c>
      <c r="Q18" s="153">
        <f>+J18-L18</f>
        <v>-3086089</v>
      </c>
    </row>
    <row r="19" spans="1:20" ht="15" customHeight="1">
      <c r="B19" s="168" t="s">
        <v>60</v>
      </c>
      <c r="C19" s="169" t="s">
        <v>362</v>
      </c>
      <c r="D19" s="197">
        <f>-C52-C54-C55-C56-C53</f>
        <v>389534004</v>
      </c>
      <c r="E19" s="197">
        <f>-D52-D54-D55-D56-D53</f>
        <v>347136671</v>
      </c>
      <c r="F19" s="172">
        <f>+[7]cálculos!E19</f>
        <v>314277183</v>
      </c>
      <c r="H19" s="148" t="s">
        <v>19</v>
      </c>
      <c r="J19" s="153"/>
      <c r="K19" s="153"/>
      <c r="L19" s="153"/>
      <c r="M19" s="153"/>
      <c r="O19" s="173"/>
      <c r="P19" s="200"/>
      <c r="Q19" s="153"/>
      <c r="R19" s="184"/>
      <c r="T19" s="153"/>
    </row>
    <row r="20" spans="1:20" ht="15" customHeight="1">
      <c r="B20" s="162" t="s">
        <v>75</v>
      </c>
      <c r="C20" s="196" t="s">
        <v>362</v>
      </c>
      <c r="D20" s="201">
        <f>+C66</f>
        <v>165724056</v>
      </c>
      <c r="E20" s="201">
        <f>+D66</f>
        <v>81282240</v>
      </c>
      <c r="F20" s="202">
        <f>+E66</f>
        <v>118876772</v>
      </c>
      <c r="H20" s="199" t="s">
        <v>56</v>
      </c>
      <c r="I20" s="149" t="s">
        <v>10</v>
      </c>
      <c r="J20" s="175">
        <f>+D11</f>
        <v>1175813467</v>
      </c>
      <c r="K20" s="191">
        <f>ROUND(J20/J21,4)</f>
        <v>0.76429999999999998</v>
      </c>
      <c r="L20" s="175">
        <f>+E11</f>
        <v>1274907748</v>
      </c>
      <c r="M20" s="191">
        <f>ROUND(L20/L21,4)</f>
        <v>0.82699999999999996</v>
      </c>
      <c r="N20" s="192"/>
      <c r="O20" s="178">
        <f>ROUND((K20/M20)-1,4)</f>
        <v>-7.5800000000000006E-2</v>
      </c>
      <c r="P20" s="179">
        <f>ROUND((J20/L20)-1,3)</f>
        <v>-7.8E-2</v>
      </c>
      <c r="Q20" s="153">
        <f>+J20-L20</f>
        <v>-99094281</v>
      </c>
      <c r="R20" s="184"/>
      <c r="T20" s="153"/>
    </row>
    <row r="21" spans="1:20" ht="15" customHeight="1">
      <c r="B21" s="168" t="s">
        <v>22</v>
      </c>
      <c r="C21" s="169" t="s">
        <v>362</v>
      </c>
      <c r="D21" s="197">
        <f>+C59</f>
        <v>-48853914</v>
      </c>
      <c r="E21" s="197">
        <f>+D59</f>
        <v>-36613290</v>
      </c>
      <c r="F21" s="197">
        <f>+[7]cálculos!E21</f>
        <v>-27866277</v>
      </c>
      <c r="H21" s="149" t="s">
        <v>18</v>
      </c>
      <c r="J21" s="153">
        <f>+J18</f>
        <v>1538447813</v>
      </c>
      <c r="K21" s="153" t="s">
        <v>4</v>
      </c>
      <c r="L21" s="153">
        <f>+L18</f>
        <v>1541533902</v>
      </c>
      <c r="M21" s="153" t="s">
        <v>4</v>
      </c>
      <c r="O21" s="184"/>
      <c r="P21" s="179">
        <f>ROUND((J21/L21)-1,3)</f>
        <v>-2E-3</v>
      </c>
      <c r="Q21" s="153">
        <f>+J21-L21</f>
        <v>-3086089</v>
      </c>
      <c r="T21" s="153"/>
    </row>
    <row r="22" spans="1:20" ht="15" customHeight="1">
      <c r="B22" s="168" t="s">
        <v>24</v>
      </c>
      <c r="C22" s="169" t="s">
        <v>362</v>
      </c>
      <c r="D22" s="197">
        <f>+J32</f>
        <v>159153862</v>
      </c>
      <c r="E22" s="197">
        <f>+L32</f>
        <v>115505657</v>
      </c>
      <c r="F22" s="197">
        <f>+[7]cálculos!E22</f>
        <v>115505657</v>
      </c>
      <c r="H22" s="148" t="s">
        <v>20</v>
      </c>
      <c r="J22" s="153"/>
      <c r="K22" s="153"/>
      <c r="L22" s="153"/>
      <c r="M22" s="153"/>
      <c r="O22" s="184"/>
      <c r="P22" s="203"/>
    </row>
    <row r="23" spans="1:20" ht="15" customHeight="1">
      <c r="B23" s="168" t="s">
        <v>25</v>
      </c>
      <c r="C23" s="169" t="s">
        <v>362</v>
      </c>
      <c r="D23" s="197">
        <f>+C71</f>
        <v>65277259</v>
      </c>
      <c r="E23" s="197">
        <f>+D71</f>
        <v>41320156</v>
      </c>
      <c r="F23" s="197">
        <f>+[7]cálculos!E23</f>
        <v>48989724</v>
      </c>
      <c r="H23" s="174" t="s">
        <v>21</v>
      </c>
      <c r="J23" s="175">
        <f>Anualizados!C13</f>
        <v>214577970</v>
      </c>
      <c r="K23" s="176">
        <f>ROUND(J23/J24,2)</f>
        <v>4.3899999999999997</v>
      </c>
      <c r="L23" s="175">
        <f>+[7]Anualizados!$C$13</f>
        <v>117895530</v>
      </c>
      <c r="M23" s="176">
        <f>ROUND(L23/L24,2)</f>
        <v>3.22</v>
      </c>
      <c r="N23" s="204"/>
      <c r="O23" s="178">
        <f>ROUND((K23/M23)-1,4)</f>
        <v>0.3634</v>
      </c>
      <c r="P23" s="179">
        <f>ROUND((J23/L23)-1,3)</f>
        <v>0.82</v>
      </c>
      <c r="Q23" s="153">
        <f>+J23-L23</f>
        <v>96682440</v>
      </c>
    </row>
    <row r="24" spans="1:20" ht="15" customHeight="1" thickBot="1">
      <c r="B24" s="168" t="s">
        <v>26</v>
      </c>
      <c r="C24" s="169" t="s">
        <v>362</v>
      </c>
      <c r="D24" s="197">
        <f>+C67</f>
        <v>-33886203</v>
      </c>
      <c r="E24" s="197">
        <f>+D67</f>
        <v>2577179</v>
      </c>
      <c r="F24" s="197">
        <f>+[7]cálculos!E24</f>
        <v>-19665778</v>
      </c>
      <c r="H24" s="149" t="s">
        <v>23</v>
      </c>
      <c r="J24" s="153">
        <f>Anualizados!C20</f>
        <v>48853914</v>
      </c>
      <c r="K24" s="205"/>
      <c r="L24" s="153">
        <f>+[7]cálculos!$J$24</f>
        <v>36613290</v>
      </c>
      <c r="M24" s="205"/>
      <c r="O24" s="153"/>
      <c r="P24" s="206">
        <f>ROUND((J24/L24)-1,3)</f>
        <v>0.33400000000000002</v>
      </c>
      <c r="Q24" s="153">
        <f>+J24-L24</f>
        <v>12240624</v>
      </c>
      <c r="T24" s="192"/>
    </row>
    <row r="25" spans="1:20" ht="15" customHeight="1" thickBot="1">
      <c r="B25" s="207" t="s">
        <v>61</v>
      </c>
      <c r="C25" s="208" t="s">
        <v>362</v>
      </c>
      <c r="D25" s="209">
        <f>+C54</f>
        <v>-77697080</v>
      </c>
      <c r="E25" s="209">
        <f>+D54</f>
        <v>-74820917</v>
      </c>
      <c r="F25" s="209">
        <f>+[7]cálculos!E25</f>
        <v>-69205148</v>
      </c>
      <c r="H25" s="210" t="s">
        <v>27</v>
      </c>
      <c r="I25" s="211"/>
      <c r="J25" s="212"/>
      <c r="K25" s="212"/>
      <c r="L25" s="212"/>
      <c r="M25" s="212"/>
      <c r="N25" s="211"/>
      <c r="O25" s="213"/>
      <c r="P25" s="211"/>
    </row>
    <row r="26" spans="1:20" ht="15" customHeight="1" thickBot="1">
      <c r="C26" s="160"/>
      <c r="D26" s="214"/>
      <c r="E26" s="215"/>
      <c r="F26" s="395"/>
      <c r="H26" s="211" t="s">
        <v>57</v>
      </c>
      <c r="I26" s="211" t="s">
        <v>10</v>
      </c>
      <c r="J26" s="216">
        <f>+D23</f>
        <v>65277259</v>
      </c>
      <c r="K26" s="212"/>
      <c r="L26" s="216">
        <f>+F23</f>
        <v>48989724</v>
      </c>
      <c r="M26" s="212"/>
      <c r="N26" s="211"/>
      <c r="O26" s="213"/>
      <c r="P26" s="211">
        <v>1000</v>
      </c>
      <c r="R26" s="184"/>
    </row>
    <row r="27" spans="1:20" ht="15" customHeight="1">
      <c r="A27" s="217"/>
      <c r="B27" s="155" t="s">
        <v>74</v>
      </c>
      <c r="C27" s="156"/>
      <c r="D27" s="218" t="str">
        <f>+D4</f>
        <v>Dic-23</v>
      </c>
      <c r="E27" s="218" t="str">
        <f>+E16</f>
        <v>Dic-22</v>
      </c>
      <c r="F27" s="218" t="s">
        <v>329</v>
      </c>
      <c r="H27" s="211" t="s">
        <v>29</v>
      </c>
      <c r="I27" s="211" t="s">
        <v>10</v>
      </c>
      <c r="J27" s="216">
        <f>-D24</f>
        <v>33886203</v>
      </c>
      <c r="K27" s="212"/>
      <c r="L27" s="216">
        <f>-F24</f>
        <v>19665778</v>
      </c>
      <c r="M27" s="212"/>
      <c r="N27" s="211"/>
      <c r="O27" s="213"/>
      <c r="P27" s="211"/>
      <c r="Q27" s="192"/>
      <c r="R27" s="184"/>
      <c r="T27" s="192"/>
    </row>
    <row r="28" spans="1:20" ht="15" customHeight="1">
      <c r="B28" s="168" t="s">
        <v>52</v>
      </c>
      <c r="C28" s="169" t="s">
        <v>362</v>
      </c>
      <c r="D28" s="219">
        <f>+Flujo!D24</f>
        <v>227922765</v>
      </c>
      <c r="E28" s="219">
        <f>+Flujo!E24</f>
        <v>241057418</v>
      </c>
      <c r="F28" s="197">
        <f>+[7]cálculos!E28</f>
        <v>229945799</v>
      </c>
      <c r="H28" s="211" t="s">
        <v>30</v>
      </c>
      <c r="I28" s="211" t="s">
        <v>10</v>
      </c>
      <c r="J28" s="216">
        <f>-D21</f>
        <v>48853914</v>
      </c>
      <c r="K28" s="212"/>
      <c r="L28" s="216">
        <f>-F21</f>
        <v>27866277</v>
      </c>
      <c r="M28" s="212"/>
      <c r="N28" s="212"/>
      <c r="O28" s="213"/>
      <c r="P28" s="212"/>
      <c r="Q28" s="153"/>
      <c r="R28" s="184"/>
      <c r="T28" s="153"/>
    </row>
    <row r="29" spans="1:20" ht="15" customHeight="1">
      <c r="A29" s="220"/>
      <c r="B29" s="168" t="s">
        <v>53</v>
      </c>
      <c r="C29" s="169" t="s">
        <v>362</v>
      </c>
      <c r="D29" s="219">
        <f>+Flujo!D31</f>
        <v>-150002292</v>
      </c>
      <c r="E29" s="219">
        <f>+Flujo!E31</f>
        <v>-165900708</v>
      </c>
      <c r="F29" s="197">
        <f>+[7]cálculos!E29</f>
        <v>-157671083</v>
      </c>
      <c r="H29" s="211" t="s">
        <v>62</v>
      </c>
      <c r="I29" s="211" t="s">
        <v>10</v>
      </c>
      <c r="J29" s="216">
        <f>-D25</f>
        <v>77697080</v>
      </c>
      <c r="K29" s="212"/>
      <c r="L29" s="216">
        <f>-F25</f>
        <v>69205148</v>
      </c>
      <c r="M29" s="212"/>
      <c r="N29" s="211"/>
      <c r="O29" s="213"/>
      <c r="P29" s="211"/>
      <c r="R29" s="184"/>
    </row>
    <row r="30" spans="1:20" ht="15" customHeight="1">
      <c r="A30" s="221"/>
      <c r="B30" s="168" t="s">
        <v>54</v>
      </c>
      <c r="C30" s="169" t="s">
        <v>362</v>
      </c>
      <c r="D30" s="219">
        <f>+Flujo!D49</f>
        <v>-147670931</v>
      </c>
      <c r="E30" s="219">
        <f>+Flujo!E49</f>
        <v>-59169722</v>
      </c>
      <c r="F30" s="197">
        <f>+[7]cálculos!E30</f>
        <v>-85680689</v>
      </c>
      <c r="H30" s="211" t="s">
        <v>63</v>
      </c>
      <c r="I30" s="211" t="s">
        <v>10</v>
      </c>
      <c r="J30" s="216">
        <f>-C69</f>
        <v>-66560594</v>
      </c>
      <c r="K30" s="211"/>
      <c r="L30" s="216">
        <f>-E69</f>
        <v>-50221270</v>
      </c>
      <c r="M30" s="211"/>
      <c r="N30" s="211"/>
      <c r="O30" s="213"/>
      <c r="P30" s="211"/>
      <c r="Q30" s="222"/>
      <c r="R30" s="184"/>
      <c r="T30" s="222"/>
    </row>
    <row r="31" spans="1:20" ht="15" customHeight="1">
      <c r="A31" s="221"/>
      <c r="B31" s="162" t="s">
        <v>28</v>
      </c>
      <c r="C31" s="169" t="s">
        <v>362</v>
      </c>
      <c r="D31" s="223">
        <f>SUM(D28:D30)</f>
        <v>-69750458</v>
      </c>
      <c r="E31" s="223">
        <f>SUM(E28:E30)</f>
        <v>15986988</v>
      </c>
      <c r="F31" s="223">
        <f>SUM(F28:F30)</f>
        <v>-13405973</v>
      </c>
      <c r="H31" s="211" t="s">
        <v>33</v>
      </c>
      <c r="I31" s="211" t="s">
        <v>10</v>
      </c>
      <c r="J31" s="216">
        <v>0</v>
      </c>
      <c r="K31" s="212"/>
      <c r="L31" s="216">
        <v>0</v>
      </c>
      <c r="M31" s="212"/>
      <c r="N31" s="211"/>
      <c r="O31" s="213"/>
      <c r="P31" s="211">
        <v>37</v>
      </c>
      <c r="R31" s="184"/>
    </row>
    <row r="32" spans="1:20" ht="15" customHeight="1">
      <c r="A32" s="221"/>
      <c r="B32" s="168" t="s">
        <v>31</v>
      </c>
      <c r="C32" s="169" t="s">
        <v>362</v>
      </c>
      <c r="D32" s="219">
        <f>+Flujo!D54</f>
        <v>180545868</v>
      </c>
      <c r="E32" s="219">
        <f>+Flujo!E54</f>
        <v>164558880</v>
      </c>
      <c r="F32" s="197">
        <f>+[7]cálculos!E32</f>
        <v>177964853</v>
      </c>
      <c r="H32" s="224" t="s">
        <v>24</v>
      </c>
      <c r="I32" s="211"/>
      <c r="J32" s="225">
        <f>SUM(J26:J31)</f>
        <v>159153862</v>
      </c>
      <c r="K32" s="212"/>
      <c r="L32" s="225">
        <f>SUM(L26:L31)</f>
        <v>115505657</v>
      </c>
      <c r="M32" s="226">
        <f>ROUND((J32/L32)-1,4)</f>
        <v>0.37790000000000001</v>
      </c>
      <c r="N32" s="212"/>
      <c r="O32" s="227"/>
      <c r="P32" s="211">
        <v>9</v>
      </c>
      <c r="R32" s="184"/>
    </row>
    <row r="33" spans="2:20" ht="15" customHeight="1" thickBot="1">
      <c r="B33" s="187" t="s">
        <v>32</v>
      </c>
      <c r="C33" s="228" t="s">
        <v>362</v>
      </c>
      <c r="D33" s="229">
        <f>+D32+D31</f>
        <v>110795410</v>
      </c>
      <c r="E33" s="229">
        <f>+E32+E31</f>
        <v>180545868</v>
      </c>
      <c r="F33" s="229">
        <f>+F32+F31</f>
        <v>164558880</v>
      </c>
      <c r="H33" s="224"/>
      <c r="I33" s="211"/>
      <c r="J33" s="212"/>
      <c r="K33" s="212"/>
      <c r="L33" s="212"/>
      <c r="M33" s="212"/>
      <c r="N33" s="212"/>
      <c r="O33" s="213"/>
      <c r="P33" s="211">
        <f>+P31+P32</f>
        <v>46</v>
      </c>
      <c r="Q33" s="230"/>
      <c r="R33" s="184"/>
      <c r="T33" s="230"/>
    </row>
    <row r="34" spans="2:20" ht="15" customHeight="1" thickBot="1">
      <c r="D34" s="1">
        <f>+D33-Balance!D6</f>
        <v>0</v>
      </c>
      <c r="E34" s="1"/>
      <c r="F34" s="1"/>
      <c r="H34" s="224"/>
      <c r="I34" s="211"/>
      <c r="J34" s="212"/>
      <c r="K34" s="231"/>
      <c r="L34" s="212"/>
      <c r="M34" s="231"/>
      <c r="N34" s="212"/>
      <c r="O34" s="227"/>
      <c r="P34" s="232"/>
      <c r="Q34" s="153"/>
      <c r="R34" s="184"/>
      <c r="T34" s="153"/>
    </row>
    <row r="35" spans="2:20" ht="15" customHeight="1">
      <c r="B35" s="233" t="s">
        <v>98</v>
      </c>
      <c r="C35" s="341" t="s">
        <v>394</v>
      </c>
      <c r="D35" s="341">
        <v>691794448</v>
      </c>
      <c r="E35" s="184"/>
      <c r="F35" s="184"/>
      <c r="H35" s="224" t="s">
        <v>58</v>
      </c>
      <c r="I35" s="211"/>
      <c r="J35" s="212">
        <f>+D18</f>
        <v>640855854</v>
      </c>
      <c r="K35" s="212"/>
      <c r="L35" s="212">
        <f>+E18</f>
        <v>580468054</v>
      </c>
      <c r="M35" s="212"/>
      <c r="N35" s="212"/>
      <c r="O35" s="211"/>
      <c r="P35" s="232">
        <f>ROUND((J35/L35)-1,4)</f>
        <v>0.104</v>
      </c>
      <c r="R35" s="184"/>
    </row>
    <row r="36" spans="2:20" ht="15" customHeight="1" thickBot="1">
      <c r="B36" s="234" t="s">
        <v>290</v>
      </c>
      <c r="C36" s="342" t="s">
        <v>394</v>
      </c>
      <c r="D36" s="342">
        <v>2651930195</v>
      </c>
      <c r="E36" s="184"/>
      <c r="F36" s="184"/>
      <c r="H36" s="148"/>
      <c r="J36" s="236"/>
      <c r="K36" s="153"/>
      <c r="L36" s="236"/>
      <c r="M36" s="153"/>
      <c r="N36" s="153"/>
      <c r="P36" s="153"/>
      <c r="R36" s="184"/>
    </row>
    <row r="37" spans="2:20" ht="15" customHeight="1" thickBot="1">
      <c r="B37" s="234"/>
      <c r="C37" s="235"/>
      <c r="D37" s="235"/>
      <c r="E37" s="184"/>
      <c r="F37" s="184"/>
      <c r="H37" s="166" t="s">
        <v>34</v>
      </c>
      <c r="J37" s="153"/>
      <c r="K37" s="153"/>
      <c r="L37" s="153"/>
      <c r="M37" s="153"/>
      <c r="P37" s="153"/>
      <c r="Q37" s="192"/>
      <c r="R37" s="192" t="s">
        <v>4</v>
      </c>
      <c r="T37" s="192"/>
    </row>
    <row r="38" spans="2:20" ht="15" customHeight="1">
      <c r="B38" s="234"/>
      <c r="C38" s="235"/>
      <c r="D38" s="237"/>
      <c r="E38" s="184"/>
      <c r="F38" s="184"/>
      <c r="H38" s="148" t="s">
        <v>35</v>
      </c>
      <c r="J38" s="153"/>
      <c r="K38" s="153"/>
      <c r="L38" s="153"/>
      <c r="M38" s="153"/>
      <c r="O38" s="238"/>
      <c r="P38" s="149"/>
      <c r="R38" s="184"/>
    </row>
    <row r="39" spans="2:20" ht="15" customHeight="1" thickBot="1">
      <c r="B39" s="239"/>
      <c r="C39" s="240"/>
      <c r="D39" s="241"/>
      <c r="H39" s="174" t="s">
        <v>36</v>
      </c>
      <c r="I39" s="149" t="s">
        <v>10</v>
      </c>
      <c r="J39" s="175">
        <f>Anualizados!C6</f>
        <v>65277259</v>
      </c>
      <c r="K39" s="191">
        <f>ROUND(J39/J40,4)*100</f>
        <v>9.27</v>
      </c>
      <c r="L39" s="175">
        <f>+[7]cálculos!$J$39</f>
        <v>41320156</v>
      </c>
      <c r="M39" s="191">
        <f>ROUND(L39/L40,4)*100</f>
        <v>5.96</v>
      </c>
      <c r="N39" s="192"/>
      <c r="O39" s="178">
        <f>ROUND((K39/M39)-1,4)</f>
        <v>0.5554</v>
      </c>
      <c r="P39" s="179">
        <f>ROUND((J39/L39)-1,3)</f>
        <v>0.57999999999999996</v>
      </c>
      <c r="Q39" s="153">
        <f>+J39-L39</f>
        <v>23957103</v>
      </c>
      <c r="R39" s="153">
        <v>2366803</v>
      </c>
    </row>
    <row r="40" spans="2:20" ht="15" customHeight="1" thickBot="1">
      <c r="H40" s="149" t="s">
        <v>90</v>
      </c>
      <c r="I40" s="149" t="s">
        <v>4</v>
      </c>
      <c r="J40" s="153">
        <f>ROUND((D13+D35)/2,0)</f>
        <v>703822069</v>
      </c>
      <c r="K40" s="153"/>
      <c r="L40" s="153">
        <f>+[7]cálculos!$J$40</f>
        <v>692879659</v>
      </c>
      <c r="M40" s="153"/>
      <c r="O40" s="242"/>
      <c r="P40" s="179">
        <f>ROUND((J40/L40)-1,3)</f>
        <v>1.6E-2</v>
      </c>
      <c r="Q40" s="153">
        <f>+J40-L40</f>
        <v>10942410</v>
      </c>
      <c r="R40" s="184"/>
    </row>
    <row r="41" spans="2:20" ht="15" customHeight="1">
      <c r="B41" s="243" t="s">
        <v>278</v>
      </c>
      <c r="C41" s="157" t="s">
        <v>395</v>
      </c>
      <c r="D41" s="157" t="s">
        <v>348</v>
      </c>
      <c r="H41" s="148" t="s">
        <v>37</v>
      </c>
      <c r="J41" s="153"/>
      <c r="K41" s="153"/>
      <c r="L41" s="153"/>
      <c r="M41" s="153"/>
      <c r="O41" s="238"/>
      <c r="P41" s="244"/>
      <c r="Q41" s="242"/>
      <c r="R41" s="184"/>
    </row>
    <row r="42" spans="2:20" ht="15" customHeight="1">
      <c r="B42" s="168" t="s">
        <v>397</v>
      </c>
      <c r="C42" s="163">
        <v>20.040900000000001</v>
      </c>
      <c r="D42" s="165"/>
      <c r="H42" s="148"/>
      <c r="J42" s="153"/>
      <c r="K42" s="153"/>
      <c r="L42" s="153"/>
      <c r="M42" s="153"/>
      <c r="O42" s="238"/>
      <c r="P42" s="244"/>
      <c r="Q42" s="242"/>
      <c r="R42" s="184"/>
    </row>
    <row r="43" spans="2:20" ht="15" customHeight="1">
      <c r="B43" s="168" t="s">
        <v>347</v>
      </c>
      <c r="C43" s="163">
        <v>23.23753</v>
      </c>
      <c r="D43" s="165"/>
      <c r="H43" s="174" t="s">
        <v>36</v>
      </c>
      <c r="I43" s="149" t="s">
        <v>10</v>
      </c>
      <c r="J43" s="175">
        <f>+J39</f>
        <v>65277259</v>
      </c>
      <c r="K43" s="191">
        <f>ROUND(J43/J44,4)*100</f>
        <v>2.44</v>
      </c>
      <c r="L43" s="175">
        <f>+L39</f>
        <v>41320156</v>
      </c>
      <c r="M43" s="191">
        <f>ROUND(L43/L44,4)*100</f>
        <v>1.6</v>
      </c>
      <c r="N43" s="192"/>
      <c r="O43" s="178">
        <f>ROUND((K43/M43)-1,4)</f>
        <v>0.52500000000000002</v>
      </c>
      <c r="P43" s="179">
        <f>ROUND((J43/L43)-1,3)</f>
        <v>0.57999999999999996</v>
      </c>
      <c r="Q43" s="153">
        <f>+J43-L43</f>
        <v>23957103</v>
      </c>
    </row>
    <row r="44" spans="2:20" ht="15" customHeight="1">
      <c r="B44" s="168" t="s">
        <v>336</v>
      </c>
      <c r="C44" s="163"/>
      <c r="D44" s="165"/>
      <c r="H44" s="149" t="s">
        <v>38</v>
      </c>
      <c r="I44" s="149" t="s">
        <v>4</v>
      </c>
      <c r="J44" s="245">
        <f>ROUND((+D8+D36)/2,0)</f>
        <v>2674203133</v>
      </c>
      <c r="K44" s="153"/>
      <c r="L44" s="245">
        <f>ROUND((E8+F8)/2,0)</f>
        <v>2576876220</v>
      </c>
      <c r="M44" s="153"/>
      <c r="N44" s="205"/>
      <c r="O44" s="242"/>
      <c r="P44" s="179">
        <f>ROUND((J44/L44)-1,3)</f>
        <v>3.7999999999999999E-2</v>
      </c>
      <c r="Q44" s="153">
        <f>+J44-L44</f>
        <v>97326913</v>
      </c>
    </row>
    <row r="45" spans="2:20" ht="15" customHeight="1">
      <c r="B45" s="168" t="s">
        <v>346</v>
      </c>
      <c r="C45" s="163"/>
      <c r="D45" s="165">
        <f>+[7]cálculos!$C$42</f>
        <v>20.490749999999998</v>
      </c>
      <c r="H45" s="148" t="s">
        <v>39</v>
      </c>
      <c r="J45" s="153"/>
      <c r="K45" s="153"/>
      <c r="L45" s="153"/>
      <c r="M45" s="153"/>
      <c r="P45" s="246"/>
    </row>
    <row r="46" spans="2:20" ht="15" customHeight="1">
      <c r="B46" s="168" t="s">
        <v>336</v>
      </c>
      <c r="C46" s="163"/>
      <c r="D46" s="165">
        <f>+[7]cálculos!$C$43</f>
        <v>17.535</v>
      </c>
      <c r="H46" s="174" t="s">
        <v>40</v>
      </c>
      <c r="I46" s="149" t="s">
        <v>10</v>
      </c>
      <c r="J46" s="175">
        <f>+J43*1000</f>
        <v>65277259000</v>
      </c>
      <c r="K46" s="176">
        <f>ROUND(J46/J47,2)</f>
        <v>65.28</v>
      </c>
      <c r="L46" s="175">
        <f>+L39*1000</f>
        <v>41320156000</v>
      </c>
      <c r="M46" s="176">
        <f>ROUND(L46/L47,2)</f>
        <v>41.32</v>
      </c>
      <c r="N46" s="222"/>
      <c r="O46" s="178">
        <f>ROUND((K46/M46)-1,4)</f>
        <v>0.57989999999999997</v>
      </c>
      <c r="P46" s="179">
        <f>ROUND((J46/L46)-1,3)</f>
        <v>0.57999999999999996</v>
      </c>
    </row>
    <row r="47" spans="2:20" ht="15" customHeight="1" thickBot="1">
      <c r="B47" s="247"/>
      <c r="C47" s="248">
        <f>SUM(C42:C46)</f>
        <v>43.27843</v>
      </c>
      <c r="D47" s="249">
        <f>SUM(D43:D46)</f>
        <v>38.025750000000002</v>
      </c>
      <c r="E47" s="250"/>
      <c r="F47" s="396"/>
      <c r="H47" s="149" t="s">
        <v>41</v>
      </c>
      <c r="J47" s="251">
        <v>1000000000</v>
      </c>
      <c r="K47" s="153"/>
      <c r="L47" s="251">
        <v>1000000000</v>
      </c>
      <c r="M47" s="153"/>
      <c r="P47" s="179">
        <f>ROUND((J47/L47)-1,3)</f>
        <v>0</v>
      </c>
    </row>
    <row r="48" spans="2:20" ht="15" customHeight="1">
      <c r="E48" s="252"/>
      <c r="F48" s="245"/>
      <c r="J48" s="153"/>
      <c r="K48" s="153"/>
      <c r="L48" s="253" t="s">
        <v>4</v>
      </c>
      <c r="M48" s="153"/>
      <c r="O48" s="238"/>
    </row>
    <row r="49" spans="2:16" ht="15" customHeight="1" thickBot="1">
      <c r="C49" s="252"/>
      <c r="D49" s="252"/>
      <c r="E49" s="252"/>
      <c r="F49" s="245"/>
      <c r="H49" s="148" t="s">
        <v>42</v>
      </c>
      <c r="J49" s="153"/>
      <c r="K49" s="153"/>
      <c r="L49" s="253"/>
      <c r="M49" s="153"/>
      <c r="O49" s="238"/>
    </row>
    <row r="50" spans="2:16" ht="15" customHeight="1">
      <c r="B50" s="155" t="s">
        <v>173</v>
      </c>
      <c r="C50" s="254" t="str">
        <f>+D16</f>
        <v>Dic-23</v>
      </c>
      <c r="D50" s="254" t="str">
        <f>+E16</f>
        <v>Dic-22</v>
      </c>
      <c r="E50" s="254" t="s">
        <v>329</v>
      </c>
      <c r="F50" s="245"/>
      <c r="H50" s="174" t="s">
        <v>43</v>
      </c>
      <c r="I50" s="149" t="s">
        <v>10</v>
      </c>
      <c r="J50" s="255">
        <f>+C47</f>
        <v>43.27843</v>
      </c>
      <c r="K50" s="191">
        <f>ROUND(J50/J51,4)*100</f>
        <v>5.89</v>
      </c>
      <c r="L50" s="256">
        <f>+D47</f>
        <v>38.025750000000002</v>
      </c>
      <c r="M50" s="191">
        <f>ROUND(L50/L51,4)*100</f>
        <v>8</v>
      </c>
      <c r="N50" s="230"/>
      <c r="O50" s="178">
        <f>ROUND((K50/M50)-1,4)</f>
        <v>-0.26379999999999998</v>
      </c>
      <c r="P50" s="179">
        <f>ROUND((J50/L50)-1,3)</f>
        <v>0.13800000000000001</v>
      </c>
    </row>
    <row r="51" spans="2:16" ht="15" customHeight="1">
      <c r="B51" s="168" t="s">
        <v>99</v>
      </c>
      <c r="C51" s="257">
        <f>+Resultado!D5</f>
        <v>640855854</v>
      </c>
      <c r="D51" s="257">
        <f>+Resultado!E5</f>
        <v>580468054</v>
      </c>
      <c r="E51" s="257">
        <f>+[7]cálculos!D50</f>
        <v>506458487</v>
      </c>
      <c r="F51" s="258"/>
      <c r="H51" s="149" t="s">
        <v>44</v>
      </c>
      <c r="J51" s="259">
        <v>734.24</v>
      </c>
      <c r="K51" s="205" t="s">
        <v>4</v>
      </c>
      <c r="L51" s="259">
        <v>475.33</v>
      </c>
      <c r="M51" s="205" t="s">
        <v>4</v>
      </c>
      <c r="N51" s="260"/>
      <c r="O51" s="242"/>
      <c r="P51" s="179">
        <f>ROUND((J51/L51)-1,3)</f>
        <v>0.54500000000000004</v>
      </c>
    </row>
    <row r="52" spans="2:16" ht="15" customHeight="1">
      <c r="B52" s="168" t="s">
        <v>100</v>
      </c>
      <c r="C52" s="257">
        <f>+Resultado!D6</f>
        <v>-85362422</v>
      </c>
      <c r="D52" s="257">
        <f>+Resultado!E6</f>
        <v>-79574329</v>
      </c>
      <c r="E52" s="257">
        <f>+[7]cálculos!D51</f>
        <v>-53627449</v>
      </c>
      <c r="F52" s="258"/>
      <c r="P52" s="246"/>
    </row>
    <row r="53" spans="2:16" ht="15" customHeight="1">
      <c r="B53" s="168" t="s">
        <v>91</v>
      </c>
      <c r="C53" s="257">
        <f>+Resultado!D7</f>
        <v>-76753766</v>
      </c>
      <c r="D53" s="257">
        <f>+Resultado!E7</f>
        <v>-66542438</v>
      </c>
      <c r="E53" s="257">
        <f>+[7]cálculos!D52</f>
        <v>-55539198</v>
      </c>
      <c r="F53" s="258"/>
      <c r="J53" s="252"/>
      <c r="M53" s="261"/>
    </row>
    <row r="54" spans="2:16" ht="15" customHeight="1">
      <c r="B54" s="168" t="s">
        <v>92</v>
      </c>
      <c r="C54" s="257">
        <f>+Resultado!D8</f>
        <v>-77697080</v>
      </c>
      <c r="D54" s="257">
        <f>+Resultado!E8</f>
        <v>-74820917</v>
      </c>
      <c r="E54" s="257">
        <f>+[7]cálculos!D53</f>
        <v>-69205148</v>
      </c>
      <c r="F54" s="258"/>
      <c r="J54" s="252"/>
    </row>
    <row r="55" spans="2:16" ht="15" customHeight="1">
      <c r="B55" s="168" t="s">
        <v>101</v>
      </c>
      <c r="C55" s="257">
        <f>+Resultado!D9</f>
        <v>0</v>
      </c>
      <c r="D55" s="257">
        <f>+Resultado!E9</f>
        <v>0</v>
      </c>
      <c r="E55" s="257">
        <f>+[7]cálculos!D54</f>
        <v>-15694733</v>
      </c>
      <c r="F55" s="258"/>
      <c r="P55" s="262"/>
    </row>
    <row r="56" spans="2:16" ht="15" customHeight="1">
      <c r="B56" s="168" t="s">
        <v>102</v>
      </c>
      <c r="C56" s="257">
        <f>+Resultado!D10</f>
        <v>-149720736</v>
      </c>
      <c r="D56" s="257">
        <f>+Resultado!E10</f>
        <v>-126198987</v>
      </c>
      <c r="E56" s="257">
        <f>+[7]cálculos!D55</f>
        <v>-120210655</v>
      </c>
      <c r="F56" s="258"/>
    </row>
    <row r="57" spans="2:16" ht="15" customHeight="1">
      <c r="B57" s="162" t="s">
        <v>76</v>
      </c>
      <c r="C57" s="263">
        <f>SUM(C51:C56)</f>
        <v>251321850</v>
      </c>
      <c r="D57" s="263">
        <f>SUM(D51:D56)</f>
        <v>233331383</v>
      </c>
      <c r="E57" s="263">
        <f>SUM(E51:E56)</f>
        <v>192181304</v>
      </c>
      <c r="F57" s="258"/>
      <c r="H57" s="264"/>
      <c r="I57" s="265"/>
      <c r="J57" s="266"/>
      <c r="K57" s="266"/>
      <c r="L57" s="266"/>
      <c r="M57" s="266"/>
      <c r="O57" s="267"/>
      <c r="P57" s="268"/>
    </row>
    <row r="58" spans="2:16" ht="15" customHeight="1">
      <c r="B58" s="168" t="s">
        <v>77</v>
      </c>
      <c r="C58" s="257">
        <f>+Resultado!D13</f>
        <v>15948850</v>
      </c>
      <c r="D58" s="257">
        <f>+Resultado!E13</f>
        <v>16022604</v>
      </c>
      <c r="E58" s="257">
        <f>+[7]cálculos!D58</f>
        <v>5082667</v>
      </c>
      <c r="F58" s="258"/>
      <c r="H58" s="264"/>
      <c r="I58" s="265"/>
      <c r="J58" s="266"/>
      <c r="K58" s="266"/>
      <c r="L58" s="266"/>
      <c r="M58" s="266"/>
      <c r="O58" s="269"/>
    </row>
    <row r="59" spans="2:16" ht="15" customHeight="1">
      <c r="B59" s="168" t="s">
        <v>78</v>
      </c>
      <c r="C59" s="257">
        <f>+Resultado!D14</f>
        <v>-48853914</v>
      </c>
      <c r="D59" s="257">
        <f>+Resultado!E14</f>
        <v>-36613290</v>
      </c>
      <c r="E59" s="257">
        <f>+[7]cálculos!D59</f>
        <v>-27866277</v>
      </c>
      <c r="F59" s="258"/>
      <c r="H59" s="265"/>
      <c r="I59" s="265"/>
      <c r="J59" s="266"/>
      <c r="K59" s="270"/>
      <c r="L59" s="266"/>
      <c r="M59" s="270"/>
      <c r="N59" s="230"/>
      <c r="O59" s="271"/>
      <c r="P59" s="272"/>
    </row>
    <row r="60" spans="2:16" ht="15" customHeight="1">
      <c r="B60" s="458" t="s">
        <v>396</v>
      </c>
      <c r="C60" s="257">
        <f>+Resultado!D15</f>
        <v>-12316346</v>
      </c>
      <c r="D60" s="257">
        <f>+Resultado!E15</f>
        <v>-13830357</v>
      </c>
      <c r="E60" s="257"/>
      <c r="F60" s="258"/>
      <c r="H60" s="265"/>
      <c r="I60" s="265"/>
      <c r="J60" s="266"/>
      <c r="K60" s="270"/>
      <c r="L60" s="266"/>
      <c r="M60" s="270"/>
      <c r="N60" s="230"/>
      <c r="O60" s="271"/>
      <c r="P60" s="272"/>
    </row>
    <row r="61" spans="2:16" ht="15" customHeight="1">
      <c r="B61" s="168" t="s">
        <v>79</v>
      </c>
      <c r="C61" s="257">
        <f>+Resultado!D16</f>
        <v>1945731</v>
      </c>
      <c r="D61" s="257">
        <f>+Resultado!E16</f>
        <v>-853529</v>
      </c>
      <c r="E61" s="257">
        <f>+[7]cálculos!E60</f>
        <v>811363</v>
      </c>
      <c r="F61" s="258"/>
      <c r="H61" s="265"/>
      <c r="I61" s="265"/>
      <c r="J61" s="266"/>
      <c r="K61" s="273"/>
      <c r="L61" s="266"/>
      <c r="M61" s="273"/>
      <c r="O61" s="269"/>
      <c r="P61" s="272"/>
    </row>
    <row r="62" spans="2:16" ht="15" customHeight="1">
      <c r="B62" s="168" t="s">
        <v>80</v>
      </c>
      <c r="C62" s="257">
        <f>+Resultado!D17</f>
        <v>-45658660</v>
      </c>
      <c r="D62" s="257">
        <f>+Resultado!E17</f>
        <v>-115252738</v>
      </c>
      <c r="E62" s="257">
        <f>+[7]cálculos!E61</f>
        <v>-54969177</v>
      </c>
      <c r="F62" s="258"/>
      <c r="H62" s="264"/>
      <c r="I62" s="265"/>
      <c r="J62" s="266"/>
      <c r="K62" s="266"/>
      <c r="L62" s="266"/>
      <c r="M62" s="266"/>
      <c r="O62" s="269"/>
    </row>
    <row r="63" spans="2:16" ht="15" customHeight="1">
      <c r="B63" s="162" t="s">
        <v>81</v>
      </c>
      <c r="C63" s="263">
        <f>SUM(C58:C62)</f>
        <v>-88934339</v>
      </c>
      <c r="D63" s="263">
        <f>SUM(D58:D62)</f>
        <v>-150527310</v>
      </c>
      <c r="E63" s="263">
        <f>SUM(E58:E62)</f>
        <v>-76941424</v>
      </c>
      <c r="F63" s="258"/>
      <c r="H63" s="265"/>
      <c r="I63" s="274"/>
      <c r="J63" s="266"/>
      <c r="K63" s="270"/>
      <c r="L63" s="266"/>
      <c r="M63" s="270"/>
      <c r="N63" s="275"/>
      <c r="O63" s="271"/>
      <c r="P63" s="272"/>
    </row>
    <row r="64" spans="2:16" ht="15" customHeight="1">
      <c r="B64" s="168" t="s">
        <v>87</v>
      </c>
      <c r="C64" s="257">
        <f>+Resultado!D11</f>
        <v>3336545</v>
      </c>
      <c r="D64" s="257">
        <f>+Resultado!E11</f>
        <v>-1521833</v>
      </c>
      <c r="E64" s="257">
        <f>+[7]cálculos!E63</f>
        <v>3636892</v>
      </c>
      <c r="F64" s="258"/>
      <c r="H64" s="265"/>
      <c r="I64" s="265"/>
      <c r="J64" s="266"/>
      <c r="K64" s="273"/>
      <c r="L64" s="266"/>
      <c r="M64" s="273"/>
      <c r="N64" s="153"/>
      <c r="O64" s="269"/>
      <c r="P64" s="272"/>
    </row>
    <row r="65" spans="2:15" ht="15" customHeight="1">
      <c r="B65" s="168" t="s">
        <v>82</v>
      </c>
      <c r="C65" s="257"/>
      <c r="D65" s="257"/>
      <c r="E65" s="257">
        <f>+[7]cálculos!C64</f>
        <v>0</v>
      </c>
      <c r="F65" s="258"/>
      <c r="H65" s="148"/>
      <c r="J65" s="153"/>
      <c r="K65" s="153"/>
      <c r="L65" s="153"/>
      <c r="M65" s="153"/>
      <c r="O65" s="269"/>
    </row>
    <row r="66" spans="2:15" ht="15" customHeight="1">
      <c r="B66" s="162" t="s">
        <v>83</v>
      </c>
      <c r="C66" s="263">
        <f>+C57+C63+C64+C65</f>
        <v>165724056</v>
      </c>
      <c r="D66" s="263">
        <f>+D57+D63+D64+D65</f>
        <v>81282240</v>
      </c>
      <c r="E66" s="263">
        <f>+E57+E63+E64+E65</f>
        <v>118876772</v>
      </c>
      <c r="F66" s="258"/>
      <c r="L66" s="276"/>
    </row>
    <row r="67" spans="2:15" ht="15" customHeight="1">
      <c r="B67" s="168" t="s">
        <v>84</v>
      </c>
      <c r="C67" s="257">
        <f>+Resultado!D20</f>
        <v>-33886203</v>
      </c>
      <c r="D67" s="257">
        <f>+Resultado!E20</f>
        <v>2577179</v>
      </c>
      <c r="E67" s="257">
        <f>+[7]cálculos!E66</f>
        <v>-19665778</v>
      </c>
      <c r="F67" s="258"/>
      <c r="K67" s="277"/>
      <c r="M67" s="277"/>
    </row>
    <row r="68" spans="2:15" ht="15" customHeight="1">
      <c r="B68" s="168" t="s">
        <v>308</v>
      </c>
      <c r="C68" s="257">
        <f>+Resultado!D22</f>
        <v>0</v>
      </c>
      <c r="D68" s="257">
        <f>+Resultado!E22</f>
        <v>0</v>
      </c>
      <c r="E68" s="257">
        <f>+[7]cálculos!C67</f>
        <v>0</v>
      </c>
      <c r="F68" s="258"/>
      <c r="K68" s="277"/>
      <c r="M68" s="277"/>
    </row>
    <row r="69" spans="2:15" ht="15" customHeight="1">
      <c r="B69" s="168" t="s">
        <v>85</v>
      </c>
      <c r="C69" s="257">
        <f>+Resultado!D27</f>
        <v>66560594</v>
      </c>
      <c r="D69" s="257">
        <f>+Resultado!E27</f>
        <v>42539263</v>
      </c>
      <c r="E69" s="257">
        <f>+[7]cálculos!E68</f>
        <v>50221270</v>
      </c>
      <c r="F69" s="258"/>
    </row>
    <row r="70" spans="2:15" ht="15" customHeight="1">
      <c r="B70" s="278" t="s">
        <v>88</v>
      </c>
      <c r="C70" s="279">
        <f>+C66+C67+C68</f>
        <v>131837853</v>
      </c>
      <c r="D70" s="279">
        <f>+D66+D67+D68</f>
        <v>83859419</v>
      </c>
      <c r="E70" s="279">
        <f>+E66+E67+E68</f>
        <v>99210994</v>
      </c>
      <c r="F70" s="258"/>
    </row>
    <row r="71" spans="2:15" ht="15" customHeight="1" thickBot="1">
      <c r="B71" s="280" t="s">
        <v>86</v>
      </c>
      <c r="C71" s="281">
        <f>+C70-C69</f>
        <v>65277259</v>
      </c>
      <c r="D71" s="281">
        <f>+D70-D69</f>
        <v>41320156</v>
      </c>
      <c r="E71" s="281">
        <f>+E70-E69</f>
        <v>48989724</v>
      </c>
      <c r="F71" s="258"/>
    </row>
    <row r="72" spans="2:15" ht="15" customHeight="1">
      <c r="D72" s="258"/>
    </row>
    <row r="73" spans="2:15" ht="15" customHeight="1">
      <c r="D73" s="258"/>
    </row>
    <row r="74" spans="2:15" ht="15" customHeight="1">
      <c r="D74" s="258"/>
    </row>
    <row r="75" spans="2:15" ht="15" customHeight="1">
      <c r="C75" s="282"/>
    </row>
    <row r="78" spans="2:15" ht="15" customHeight="1">
      <c r="C78" s="258"/>
    </row>
    <row r="102" spans="10:14" ht="15" customHeight="1">
      <c r="J102" s="283"/>
      <c r="K102" s="283"/>
      <c r="M102" s="283"/>
      <c r="N102" s="283"/>
    </row>
    <row r="103" spans="10:14" ht="15" customHeight="1">
      <c r="J103" s="283"/>
      <c r="K103" s="283"/>
      <c r="M103" s="283"/>
      <c r="N103" s="283"/>
    </row>
    <row r="104" spans="10:14" ht="15" customHeight="1">
      <c r="J104" s="283"/>
      <c r="K104" s="283"/>
      <c r="M104" s="283"/>
      <c r="N104" s="283"/>
    </row>
    <row r="105" spans="10:14" ht="15" customHeight="1">
      <c r="J105" s="283"/>
      <c r="K105" s="283"/>
      <c r="M105" s="283"/>
      <c r="N105" s="283"/>
    </row>
    <row r="106" spans="10:14" ht="15" customHeight="1">
      <c r="J106" s="283"/>
      <c r="K106" s="283"/>
      <c r="M106" s="283"/>
      <c r="N106" s="283"/>
    </row>
    <row r="107" spans="10:14" ht="15" customHeight="1">
      <c r="J107" s="283"/>
      <c r="K107" s="283"/>
      <c r="M107" s="283"/>
      <c r="N107" s="283"/>
    </row>
    <row r="108" spans="10:14" ht="15" customHeight="1">
      <c r="J108" s="283"/>
      <c r="K108" s="283"/>
      <c r="L108" s="283"/>
      <c r="M108" s="283"/>
      <c r="N108" s="283"/>
    </row>
    <row r="109" spans="10:14" ht="15" customHeight="1">
      <c r="J109" s="283"/>
      <c r="K109" s="283"/>
      <c r="L109" s="283"/>
      <c r="M109" s="283"/>
      <c r="N109" s="283"/>
    </row>
    <row r="110" spans="10:14" ht="15" customHeight="1">
      <c r="J110" s="283"/>
      <c r="K110" s="283"/>
      <c r="L110" s="283"/>
      <c r="M110" s="283"/>
    </row>
    <row r="111" spans="10:14" ht="15" customHeight="1">
      <c r="J111" s="283"/>
      <c r="K111" s="283"/>
      <c r="L111" s="283"/>
      <c r="M111" s="283"/>
    </row>
    <row r="112" spans="10:14" ht="15" customHeight="1">
      <c r="J112" s="283"/>
      <c r="K112" s="283"/>
      <c r="L112" s="283"/>
      <c r="M112" s="283"/>
    </row>
    <row r="113" spans="10:13" ht="15" customHeight="1">
      <c r="J113" s="283"/>
      <c r="K113" s="283"/>
      <c r="L113" s="283"/>
      <c r="M113" s="283"/>
    </row>
    <row r="114" spans="10:13" ht="15" customHeight="1">
      <c r="J114" s="283"/>
      <c r="K114" s="283"/>
      <c r="L114" s="283"/>
      <c r="M114" s="283"/>
    </row>
    <row r="115" spans="10:13" ht="15" customHeight="1">
      <c r="J115" s="283"/>
      <c r="K115" s="283"/>
      <c r="L115" s="283"/>
      <c r="M115" s="283"/>
    </row>
    <row r="116" spans="10:13" ht="15" customHeight="1">
      <c r="J116" s="283"/>
      <c r="K116" s="283"/>
      <c r="L116" s="283"/>
      <c r="M116" s="283"/>
    </row>
    <row r="117" spans="10:13" ht="15" customHeight="1">
      <c r="J117" s="283"/>
      <c r="K117" s="283"/>
      <c r="L117" s="283"/>
      <c r="M117" s="283"/>
    </row>
    <row r="118" spans="10:13" ht="15" customHeight="1">
      <c r="J118" s="283"/>
      <c r="K118" s="283"/>
      <c r="L118" s="283"/>
      <c r="M118" s="283"/>
    </row>
    <row r="119" spans="10:13" ht="15" customHeight="1">
      <c r="J119" s="283"/>
      <c r="K119" s="283"/>
      <c r="L119" s="283"/>
      <c r="M119" s="283"/>
    </row>
    <row r="120" spans="10:13" ht="15" customHeight="1">
      <c r="J120" s="283"/>
      <c r="K120" s="283"/>
      <c r="L120" s="283"/>
      <c r="M120" s="283"/>
    </row>
    <row r="121" spans="10:13" ht="15" customHeight="1">
      <c r="J121" s="283"/>
      <c r="K121" s="283"/>
      <c r="L121" s="283"/>
      <c r="M121" s="283"/>
    </row>
    <row r="122" spans="10:13" ht="15" customHeight="1">
      <c r="J122" s="283"/>
      <c r="K122" s="283"/>
      <c r="L122" s="283"/>
      <c r="M122" s="283"/>
    </row>
    <row r="123" spans="10:13" ht="15" customHeight="1">
      <c r="J123" s="283"/>
      <c r="K123" s="283"/>
      <c r="L123" s="283"/>
      <c r="M123" s="283"/>
    </row>
    <row r="124" spans="10:13" ht="15" customHeight="1">
      <c r="J124" s="283"/>
      <c r="K124" s="283"/>
      <c r="M124" s="283"/>
    </row>
    <row r="125" spans="10:13" ht="15" customHeight="1">
      <c r="J125" s="283"/>
      <c r="K125" s="283"/>
      <c r="L125" s="283"/>
      <c r="M125" s="283"/>
    </row>
    <row r="126" spans="10:13" ht="15" customHeight="1">
      <c r="J126" s="283"/>
      <c r="K126" s="283"/>
      <c r="L126" s="283"/>
      <c r="M126" s="283"/>
    </row>
    <row r="127" spans="10:13" ht="15" customHeight="1">
      <c r="J127" s="283"/>
      <c r="K127" s="283"/>
      <c r="L127" s="283"/>
      <c r="M127" s="283"/>
    </row>
    <row r="128" spans="10:13" ht="15" customHeight="1">
      <c r="J128" s="283"/>
      <c r="K128" s="283"/>
      <c r="L128" s="283"/>
      <c r="M128" s="283"/>
    </row>
    <row r="129" spans="10:13" ht="15" customHeight="1">
      <c r="J129" s="283"/>
      <c r="K129" s="283"/>
      <c r="L129" s="283"/>
      <c r="M129" s="283"/>
    </row>
    <row r="130" spans="10:13" ht="15" customHeight="1">
      <c r="J130" s="283"/>
      <c r="K130" s="283"/>
      <c r="L130" s="283"/>
      <c r="M130" s="283"/>
    </row>
    <row r="131" spans="10:13" ht="15" customHeight="1">
      <c r="J131" s="283"/>
      <c r="K131" s="283"/>
      <c r="L131" s="283"/>
      <c r="M131" s="283"/>
    </row>
    <row r="132" spans="10:13" ht="15" customHeight="1">
      <c r="J132" s="283"/>
      <c r="K132" s="283"/>
      <c r="M132" s="283"/>
    </row>
    <row r="133" spans="10:13" ht="15" customHeight="1">
      <c r="J133" s="283"/>
      <c r="K133" s="283"/>
      <c r="M133" s="283"/>
    </row>
    <row r="134" spans="10:13" ht="15" customHeight="1">
      <c r="J134" s="283"/>
      <c r="K134" s="283"/>
      <c r="M134" s="283"/>
    </row>
    <row r="135" spans="10:13" ht="15" customHeight="1">
      <c r="J135" s="283"/>
      <c r="K135" s="283"/>
      <c r="M135" s="283"/>
    </row>
    <row r="136" spans="10:13" ht="15" customHeight="1">
      <c r="J136" s="283"/>
      <c r="K136" s="283"/>
      <c r="M136" s="283"/>
    </row>
    <row r="137" spans="10:13" ht="15" customHeight="1">
      <c r="J137" s="283"/>
      <c r="K137" s="283"/>
      <c r="M137" s="283"/>
    </row>
    <row r="138" spans="10:13" ht="15" customHeight="1">
      <c r="J138" s="283"/>
      <c r="K138" s="283"/>
      <c r="M138" s="283"/>
    </row>
    <row r="139" spans="10:13" ht="15" customHeight="1">
      <c r="J139" s="283"/>
      <c r="K139" s="283"/>
      <c r="M139" s="283"/>
    </row>
    <row r="140" spans="10:13" ht="15" customHeight="1">
      <c r="J140" s="283"/>
      <c r="K140" s="283"/>
      <c r="M140" s="283"/>
    </row>
    <row r="141" spans="10:13" ht="15" customHeight="1">
      <c r="J141" s="283"/>
      <c r="K141" s="283"/>
      <c r="M141" s="283"/>
    </row>
    <row r="142" spans="10:13" ht="15" customHeight="1">
      <c r="J142" s="283"/>
      <c r="K142" s="283"/>
      <c r="M142" s="283"/>
    </row>
    <row r="143" spans="10:13" ht="15" customHeight="1">
      <c r="J143" s="283"/>
      <c r="K143" s="283"/>
      <c r="M143" s="283"/>
    </row>
    <row r="144" spans="10:13" ht="15" customHeight="1">
      <c r="J144" s="283"/>
      <c r="K144" s="283"/>
      <c r="M144" s="283"/>
    </row>
    <row r="145" spans="10:13" ht="15" customHeight="1">
      <c r="J145" s="283"/>
      <c r="K145" s="283"/>
      <c r="M145" s="283"/>
    </row>
    <row r="146" spans="10:13" ht="15" customHeight="1">
      <c r="J146" s="283"/>
      <c r="K146" s="283"/>
      <c r="M146" s="283"/>
    </row>
    <row r="147" spans="10:13" ht="15" customHeight="1">
      <c r="J147" s="283"/>
      <c r="K147" s="283"/>
      <c r="M147" s="283"/>
    </row>
    <row r="148" spans="10:13" ht="15" customHeight="1">
      <c r="J148" s="283"/>
      <c r="K148" s="283"/>
      <c r="M148" s="283"/>
    </row>
    <row r="149" spans="10:13" ht="15" customHeight="1">
      <c r="J149" s="283"/>
      <c r="K149" s="283"/>
      <c r="M149" s="283"/>
    </row>
    <row r="150" spans="10:13" ht="15" customHeight="1">
      <c r="J150" s="242"/>
      <c r="K150" s="283"/>
      <c r="M150" s="283"/>
    </row>
    <row r="151" spans="10:13" ht="15" customHeight="1">
      <c r="J151" s="283"/>
      <c r="K151" s="283"/>
      <c r="M151" s="283"/>
    </row>
    <row r="152" spans="10:13" ht="15" customHeight="1">
      <c r="J152" s="283"/>
      <c r="K152" s="283"/>
      <c r="M152" s="283"/>
    </row>
    <row r="153" spans="10:13" ht="15" customHeight="1">
      <c r="J153" s="283"/>
      <c r="K153" s="283"/>
      <c r="M153" s="283"/>
    </row>
    <row r="154" spans="10:13" ht="15" customHeight="1">
      <c r="J154" s="283"/>
      <c r="K154" s="283"/>
      <c r="M154" s="283"/>
    </row>
    <row r="155" spans="10:13" ht="15" customHeight="1">
      <c r="J155" s="283"/>
      <c r="K155" s="283"/>
      <c r="L155" s="238"/>
      <c r="M155" s="283"/>
    </row>
    <row r="156" spans="10:13" ht="15" customHeight="1">
      <c r="J156" s="283"/>
      <c r="K156" s="283"/>
      <c r="L156" s="238"/>
      <c r="M156" s="283"/>
    </row>
    <row r="157" spans="10:13" ht="15" customHeight="1">
      <c r="J157" s="283"/>
      <c r="K157" s="283"/>
      <c r="L157" s="238"/>
      <c r="M157" s="283"/>
    </row>
    <row r="158" spans="10:13" ht="15" customHeight="1">
      <c r="J158" s="283"/>
      <c r="K158" s="283"/>
      <c r="L158" s="238"/>
      <c r="M158" s="283"/>
    </row>
    <row r="159" spans="10:13" ht="15" customHeight="1">
      <c r="J159" s="283"/>
      <c r="K159" s="283"/>
      <c r="L159" s="238"/>
      <c r="M159" s="283"/>
    </row>
    <row r="160" spans="10:13" ht="15" customHeight="1">
      <c r="J160" s="283"/>
      <c r="K160" s="283"/>
      <c r="L160" s="238"/>
      <c r="M160" s="283"/>
    </row>
    <row r="161" spans="10:13" ht="15" customHeight="1">
      <c r="J161" s="283"/>
      <c r="K161" s="283"/>
      <c r="L161" s="238"/>
      <c r="M161" s="283"/>
    </row>
    <row r="162" spans="10:13" ht="15" customHeight="1">
      <c r="J162" s="283"/>
      <c r="K162" s="283"/>
      <c r="L162" s="238"/>
      <c r="M162" s="283"/>
    </row>
    <row r="163" spans="10:13" ht="15" customHeight="1">
      <c r="L163" s="238"/>
    </row>
    <row r="164" spans="10:13" ht="15" customHeight="1">
      <c r="L164" s="238"/>
    </row>
    <row r="165" spans="10:13" ht="15" customHeight="1">
      <c r="L165" s="238"/>
    </row>
    <row r="166" spans="10:13" ht="15" customHeight="1">
      <c r="L166" s="238"/>
    </row>
    <row r="167" spans="10:13" ht="15" customHeight="1">
      <c r="L167" s="238"/>
    </row>
    <row r="186" spans="10:13" ht="15" customHeight="1">
      <c r="L186" s="151"/>
    </row>
    <row r="188" spans="10:13" ht="15" customHeight="1">
      <c r="J188" s="283"/>
      <c r="K188" s="283"/>
      <c r="L188" s="283"/>
      <c r="M188" s="283"/>
    </row>
    <row r="189" spans="10:13" ht="15" customHeight="1">
      <c r="J189" s="283"/>
      <c r="K189" s="283"/>
      <c r="L189" s="283"/>
      <c r="M189" s="283"/>
    </row>
    <row r="190" spans="10:13" ht="15" customHeight="1">
      <c r="J190" s="283"/>
      <c r="K190" s="283"/>
      <c r="L190" s="283"/>
      <c r="M190" s="283"/>
    </row>
    <row r="191" spans="10:13" ht="15" customHeight="1">
      <c r="J191" s="283"/>
      <c r="K191" s="283"/>
      <c r="L191" s="283"/>
      <c r="M191" s="283"/>
    </row>
    <row r="192" spans="10:13" ht="15" customHeight="1">
      <c r="J192" s="283"/>
      <c r="K192" s="283"/>
      <c r="L192" s="283"/>
      <c r="M192" s="283"/>
    </row>
    <row r="193" spans="10:13" ht="15" customHeight="1">
      <c r="J193" s="283"/>
      <c r="K193" s="283"/>
      <c r="L193" s="283"/>
      <c r="M193" s="283"/>
    </row>
    <row r="194" spans="10:13" ht="15" customHeight="1">
      <c r="J194" s="283"/>
      <c r="K194" s="283"/>
      <c r="L194" s="283"/>
      <c r="M194" s="283"/>
    </row>
    <row r="195" spans="10:13" ht="15" customHeight="1">
      <c r="J195" s="283"/>
      <c r="K195" s="283"/>
      <c r="L195" s="283"/>
      <c r="M195" s="283"/>
    </row>
    <row r="196" spans="10:13" ht="15" customHeight="1">
      <c r="J196" s="283"/>
      <c r="K196" s="283"/>
      <c r="L196" s="283"/>
      <c r="M196" s="283"/>
    </row>
    <row r="197" spans="10:13" ht="15" customHeight="1">
      <c r="J197" s="283"/>
      <c r="K197" s="283"/>
      <c r="L197" s="283"/>
      <c r="M197" s="283"/>
    </row>
    <row r="198" spans="10:13" ht="15" customHeight="1">
      <c r="J198" s="283"/>
      <c r="K198" s="283"/>
      <c r="M198" s="283"/>
    </row>
    <row r="199" spans="10:13" ht="15" customHeight="1">
      <c r="J199" s="283"/>
      <c r="K199" s="283"/>
      <c r="M199" s="283"/>
    </row>
    <row r="200" spans="10:13" ht="15" customHeight="1">
      <c r="J200" s="283"/>
      <c r="K200" s="283"/>
      <c r="M200" s="283"/>
    </row>
    <row r="201" spans="10:13" ht="15" customHeight="1">
      <c r="J201" s="283"/>
      <c r="K201" s="283"/>
      <c r="M201" s="283"/>
    </row>
    <row r="202" spans="10:13" ht="15" customHeight="1">
      <c r="J202" s="283"/>
      <c r="K202" s="283"/>
      <c r="M202" s="283"/>
    </row>
    <row r="203" spans="10:13" ht="15" customHeight="1">
      <c r="J203" s="283"/>
      <c r="K203" s="283"/>
      <c r="M203" s="283"/>
    </row>
    <row r="204" spans="10:13" ht="15" customHeight="1">
      <c r="J204" s="283"/>
      <c r="K204" s="283"/>
      <c r="M204" s="283"/>
    </row>
    <row r="205" spans="10:13" ht="15" customHeight="1">
      <c r="J205" s="283"/>
      <c r="K205" s="283"/>
      <c r="M205" s="283"/>
    </row>
    <row r="206" spans="10:13" ht="15" customHeight="1">
      <c r="J206" s="283"/>
      <c r="K206" s="283"/>
      <c r="M206" s="283"/>
    </row>
  </sheetData>
  <phoneticPr fontId="0" type="noConversion"/>
  <printOptions horizontalCentered="1" verticalCentered="1"/>
  <pageMargins left="0.75" right="0.75" top="0.39370078740157483" bottom="0.19685039370078741" header="0" footer="0"/>
  <pageSetup orientation="portrait" r:id="rId1"/>
  <headerFooter alignWithMargins="0">
    <oddFooter>&amp;R&amp;D  - 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FFC000"/>
  </sheetPr>
  <dimension ref="A2:L69"/>
  <sheetViews>
    <sheetView showGridLines="0" topLeftCell="A51" zoomScale="90" zoomScaleNormal="90" workbookViewId="0">
      <selection activeCell="D61" sqref="D61"/>
    </sheetView>
  </sheetViews>
  <sheetFormatPr baseColWidth="10" defaultColWidth="11.42578125" defaultRowHeight="12.75"/>
  <cols>
    <col min="1" max="1" width="10.42578125" style="119" bestFit="1" customWidth="1"/>
    <col min="2" max="2" width="56.7109375" style="137" customWidth="1"/>
    <col min="3" max="3" width="7.7109375" style="137" customWidth="1"/>
    <col min="4" max="5" width="14.42578125" style="137" customWidth="1"/>
    <col min="6" max="6" width="8" style="137" customWidth="1"/>
    <col min="7" max="7" width="12.5703125" style="294" bestFit="1" customWidth="1"/>
    <col min="8" max="8" width="11.42578125" style="298"/>
    <col min="9" max="9" width="13" style="119" bestFit="1" customWidth="1"/>
    <col min="10" max="16384" width="11.42578125" style="119"/>
  </cols>
  <sheetData>
    <row r="2" spans="1:10" ht="21.75" customHeight="1" thickBot="1"/>
    <row r="3" spans="1:10" s="110" customFormat="1" ht="18" customHeight="1">
      <c r="A3" s="136"/>
      <c r="B3" s="526" t="s">
        <v>105</v>
      </c>
      <c r="C3" s="528" t="s">
        <v>106</v>
      </c>
      <c r="D3" s="58">
        <v>45291</v>
      </c>
      <c r="E3" s="58">
        <v>44926</v>
      </c>
      <c r="F3" s="138"/>
      <c r="G3" s="530" t="s">
        <v>233</v>
      </c>
      <c r="H3" s="531"/>
      <c r="J3" s="110" t="s">
        <v>233</v>
      </c>
    </row>
    <row r="4" spans="1:10" s="110" customFormat="1" ht="18" customHeight="1">
      <c r="A4" s="111"/>
      <c r="B4" s="527"/>
      <c r="C4" s="529"/>
      <c r="D4" s="60" t="s">
        <v>8</v>
      </c>
      <c r="E4" s="61" t="s">
        <v>8</v>
      </c>
      <c r="F4" s="139"/>
      <c r="G4" s="314" t="s">
        <v>8</v>
      </c>
      <c r="H4" s="315" t="s">
        <v>70</v>
      </c>
      <c r="J4" s="110" t="s">
        <v>8</v>
      </c>
    </row>
    <row r="5" spans="1:10" s="110" customFormat="1" ht="21" customHeight="1">
      <c r="A5" s="111"/>
      <c r="B5" s="62" t="s">
        <v>107</v>
      </c>
      <c r="C5" s="63"/>
      <c r="D5" s="64"/>
      <c r="E5" s="65"/>
      <c r="F5" s="140"/>
      <c r="G5" s="295"/>
      <c r="H5" s="316"/>
    </row>
    <row r="6" spans="1:10" s="110" customFormat="1" ht="21" customHeight="1">
      <c r="A6" s="111"/>
      <c r="B6" s="66" t="s">
        <v>108</v>
      </c>
      <c r="C6" s="63">
        <v>4</v>
      </c>
      <c r="D6" s="299">
        <f>+[4]Activo!D5</f>
        <v>110795410</v>
      </c>
      <c r="E6" s="299">
        <f>+[4]Activo!E5</f>
        <v>180545868</v>
      </c>
      <c r="F6" s="141"/>
      <c r="G6" s="295">
        <f>ROUND(+(D6-E6),0)</f>
        <v>-69750458</v>
      </c>
      <c r="H6" s="316">
        <f>IFERROR(G6/E6,1)</f>
        <v>-0.38633095718368921</v>
      </c>
      <c r="J6" s="110">
        <v>-13359768</v>
      </c>
    </row>
    <row r="7" spans="1:10" s="110" customFormat="1" ht="21" customHeight="1">
      <c r="A7" s="111"/>
      <c r="B7" s="66" t="s">
        <v>240</v>
      </c>
      <c r="D7" s="299">
        <f>+[4]Activo!D6</f>
        <v>0</v>
      </c>
      <c r="E7" s="299">
        <f>+[4]Activo!E6</f>
        <v>0</v>
      </c>
      <c r="F7" s="141"/>
      <c r="G7" s="295">
        <f t="shared" ref="G7:G14" si="0">ROUND(+(D7-E7),0)</f>
        <v>0</v>
      </c>
      <c r="H7" s="316">
        <f t="shared" ref="H7:H54" si="1">IFERROR(G7/E7,1)</f>
        <v>1</v>
      </c>
      <c r="J7" s="110">
        <v>0</v>
      </c>
    </row>
    <row r="8" spans="1:10" s="110" customFormat="1" ht="21" customHeight="1">
      <c r="A8" s="111"/>
      <c r="B8" s="66" t="s">
        <v>109</v>
      </c>
      <c r="C8" s="63"/>
      <c r="D8" s="299">
        <f>+[4]Activo!D7</f>
        <v>7180555</v>
      </c>
      <c r="E8" s="299">
        <f>+[4]Activo!E7</f>
        <v>4986319</v>
      </c>
      <c r="F8" s="141"/>
      <c r="G8" s="295">
        <f t="shared" si="0"/>
        <v>2194236</v>
      </c>
      <c r="H8" s="316">
        <f t="shared" si="1"/>
        <v>0.44005126828026847</v>
      </c>
      <c r="J8" s="110">
        <v>-2449476</v>
      </c>
    </row>
    <row r="9" spans="1:10" s="110" customFormat="1" ht="21" customHeight="1">
      <c r="A9" s="111"/>
      <c r="B9" s="66" t="s">
        <v>110</v>
      </c>
      <c r="C9" s="67">
        <v>5</v>
      </c>
      <c r="D9" s="299">
        <f>+[4]Activo!D8</f>
        <v>132009297</v>
      </c>
      <c r="E9" s="299">
        <f>+[4]Activo!E8</f>
        <v>122775410</v>
      </c>
      <c r="F9" s="141"/>
      <c r="G9" s="295">
        <f t="shared" si="0"/>
        <v>9233887</v>
      </c>
      <c r="H9" s="316">
        <f t="shared" si="1"/>
        <v>7.5209579833616522E-2</v>
      </c>
      <c r="J9" s="110">
        <v>-11230792</v>
      </c>
    </row>
    <row r="10" spans="1:10" s="110" customFormat="1" ht="21" customHeight="1">
      <c r="A10" s="111"/>
      <c r="B10" s="66" t="s">
        <v>111</v>
      </c>
      <c r="C10" s="67">
        <v>6</v>
      </c>
      <c r="D10" s="299">
        <f>+[4]Activo!D9</f>
        <v>14381</v>
      </c>
      <c r="E10" s="299">
        <f>+[4]Activo!E9</f>
        <v>23032</v>
      </c>
      <c r="F10" s="141"/>
      <c r="G10" s="295">
        <f t="shared" si="0"/>
        <v>-8651</v>
      </c>
      <c r="H10" s="316">
        <f t="shared" si="1"/>
        <v>-0.37560784994789859</v>
      </c>
      <c r="J10" s="110">
        <v>63182</v>
      </c>
    </row>
    <row r="11" spans="1:10" s="110" customFormat="1" ht="21" customHeight="1">
      <c r="A11" s="111"/>
      <c r="B11" s="66" t="s">
        <v>112</v>
      </c>
      <c r="C11" s="67">
        <v>7</v>
      </c>
      <c r="D11" s="299">
        <f>+[4]Activo!D10</f>
        <v>12812483</v>
      </c>
      <c r="E11" s="299">
        <f>+[4]Activo!E10</f>
        <v>12790532</v>
      </c>
      <c r="F11" s="141"/>
      <c r="G11" s="295">
        <f t="shared" si="0"/>
        <v>21951</v>
      </c>
      <c r="H11" s="316">
        <f t="shared" si="1"/>
        <v>1.71619132026721E-3</v>
      </c>
      <c r="J11" s="110">
        <v>268157</v>
      </c>
    </row>
    <row r="12" spans="1:10" s="110" customFormat="1" ht="21" customHeight="1" thickBot="1">
      <c r="A12" s="111"/>
      <c r="B12" s="66" t="s">
        <v>241</v>
      </c>
      <c r="C12" s="67">
        <v>8</v>
      </c>
      <c r="D12" s="299">
        <f>+[4]Activo!D11</f>
        <v>13965510</v>
      </c>
      <c r="E12" s="299">
        <f>+[4]Activo!E11</f>
        <v>2124811</v>
      </c>
      <c r="F12" s="141"/>
      <c r="G12" s="295">
        <f t="shared" si="0"/>
        <v>11840699</v>
      </c>
      <c r="H12" s="316">
        <f t="shared" si="1"/>
        <v>5.5725892797053476</v>
      </c>
      <c r="J12" s="110">
        <v>4132481</v>
      </c>
    </row>
    <row r="13" spans="1:10" s="110" customFormat="1" ht="36" customHeight="1" thickBot="1">
      <c r="A13" s="111"/>
      <c r="B13" s="68" t="s">
        <v>113</v>
      </c>
      <c r="C13" s="69"/>
      <c r="D13" s="301">
        <f>SUM(D6:D12)</f>
        <v>276777636</v>
      </c>
      <c r="E13" s="302">
        <f>SUM(E6:E12)</f>
        <v>323245972</v>
      </c>
      <c r="F13" s="142"/>
      <c r="G13" s="317">
        <f>ROUND(+(D13-E13),0)</f>
        <v>-46468336</v>
      </c>
      <c r="H13" s="318">
        <f t="shared" si="1"/>
        <v>-0.1437553443048008</v>
      </c>
      <c r="J13" s="110">
        <v>-22576216</v>
      </c>
    </row>
    <row r="14" spans="1:10" s="110" customFormat="1" ht="21" customHeight="1" thickBot="1">
      <c r="A14" s="111"/>
      <c r="B14" s="66" t="s">
        <v>281</v>
      </c>
      <c r="C14" s="67">
        <f>+[8]Activo!C13</f>
        <v>9</v>
      </c>
      <c r="D14" s="299">
        <f>+[4]Activo!D13</f>
        <v>3414</v>
      </c>
      <c r="E14" s="299">
        <f>+[4]Activo!E13</f>
        <v>2812292</v>
      </c>
      <c r="F14" s="141"/>
      <c r="G14" s="295">
        <f t="shared" si="0"/>
        <v>-2808878</v>
      </c>
      <c r="H14" s="316">
        <f t="shared" si="1"/>
        <v>-0.99878604355450995</v>
      </c>
      <c r="J14" s="110">
        <v>-2808878</v>
      </c>
    </row>
    <row r="15" spans="1:10" s="110" customFormat="1" ht="21" customHeight="1" thickBot="1">
      <c r="B15" s="70" t="s">
        <v>114</v>
      </c>
      <c r="C15" s="69"/>
      <c r="D15" s="303">
        <f>+D13+D14</f>
        <v>276781050</v>
      </c>
      <c r="E15" s="304">
        <f>+E13+E14</f>
        <v>326058264</v>
      </c>
      <c r="F15" s="144"/>
      <c r="G15" s="317">
        <f>ROUND(+(D15-E15),0)</f>
        <v>-49277214</v>
      </c>
      <c r="H15" s="318">
        <f t="shared" si="1"/>
        <v>-0.15113008759685967</v>
      </c>
      <c r="J15" s="110">
        <v>-25385094</v>
      </c>
    </row>
    <row r="16" spans="1:10" s="110" customFormat="1" ht="21" customHeight="1">
      <c r="B16" s="62" t="s">
        <v>282</v>
      </c>
      <c r="C16" s="71"/>
      <c r="D16" s="305"/>
      <c r="E16" s="306"/>
      <c r="F16" s="142"/>
      <c r="G16" s="295"/>
      <c r="H16" s="316"/>
    </row>
    <row r="17" spans="1:11" s="110" customFormat="1" ht="21" customHeight="1">
      <c r="A17" s="111"/>
      <c r="B17" s="66" t="s">
        <v>240</v>
      </c>
      <c r="C17" s="67">
        <v>10</v>
      </c>
      <c r="D17" s="299">
        <f>+[4]Activo!D16</f>
        <v>7895863</v>
      </c>
      <c r="E17" s="299">
        <f>+[4]Activo!E16</f>
        <v>7895863</v>
      </c>
      <c r="F17" s="141"/>
      <c r="G17" s="295">
        <f t="shared" ref="G17:G26" si="2">ROUND(+(D17-E17),0)</f>
        <v>0</v>
      </c>
      <c r="H17" s="316">
        <f t="shared" si="1"/>
        <v>0</v>
      </c>
      <c r="J17" s="110">
        <v>0</v>
      </c>
    </row>
    <row r="18" spans="1:11" s="110" customFormat="1" ht="21" customHeight="1">
      <c r="A18" s="111"/>
      <c r="B18" s="66" t="s">
        <v>109</v>
      </c>
      <c r="C18" s="67"/>
      <c r="D18" s="299">
        <f>+[4]Activo!D17</f>
        <v>1481897</v>
      </c>
      <c r="E18" s="299">
        <f>+[4]Activo!E17</f>
        <v>1212641</v>
      </c>
      <c r="F18" s="141"/>
      <c r="G18" s="295">
        <f t="shared" si="2"/>
        <v>269256</v>
      </c>
      <c r="H18" s="316">
        <f t="shared" si="1"/>
        <v>0.22204098327534694</v>
      </c>
      <c r="J18" s="110">
        <v>-283913</v>
      </c>
    </row>
    <row r="19" spans="1:11" s="110" customFormat="1" ht="20.45" customHeight="1">
      <c r="A19" s="111"/>
      <c r="B19" s="66" t="s">
        <v>242</v>
      </c>
      <c r="C19" s="67">
        <v>5</v>
      </c>
      <c r="D19" s="299">
        <f>+[4]Activo!D18</f>
        <v>3778724</v>
      </c>
      <c r="E19" s="299">
        <f>+[4]Activo!E18</f>
        <v>2816288</v>
      </c>
      <c r="F19" s="141"/>
      <c r="G19" s="295">
        <f t="shared" si="2"/>
        <v>962436</v>
      </c>
      <c r="H19" s="316">
        <f t="shared" si="1"/>
        <v>0.34173919712756651</v>
      </c>
      <c r="J19" s="110">
        <v>1128703</v>
      </c>
    </row>
    <row r="20" spans="1:11" s="110" customFormat="1" ht="12.75" hidden="1" customHeight="1">
      <c r="A20" s="111"/>
      <c r="B20" s="66" t="s">
        <v>306</v>
      </c>
      <c r="C20" s="67"/>
      <c r="D20" s="299">
        <f>+[4]Activo!D19</f>
        <v>0</v>
      </c>
      <c r="E20" s="299">
        <f>+[4]Activo!E19</f>
        <v>0</v>
      </c>
      <c r="F20" s="141"/>
      <c r="G20" s="295"/>
      <c r="H20" s="316"/>
    </row>
    <row r="21" spans="1:11" s="110" customFormat="1" ht="21" customHeight="1">
      <c r="A21" s="111"/>
      <c r="B21" s="66" t="s">
        <v>115</v>
      </c>
      <c r="C21" s="67">
        <v>11</v>
      </c>
      <c r="D21" s="299">
        <f>+[4]Activo!D20</f>
        <v>231747713</v>
      </c>
      <c r="E21" s="299">
        <f>+[4]Activo!E20</f>
        <v>233018981</v>
      </c>
      <c r="F21" s="141"/>
      <c r="G21" s="295">
        <f t="shared" si="2"/>
        <v>-1271268</v>
      </c>
      <c r="H21" s="316">
        <f t="shared" si="1"/>
        <v>-5.4556414011612212E-3</v>
      </c>
      <c r="J21" s="110">
        <v>-335594</v>
      </c>
      <c r="K21" s="110">
        <v>25047714</v>
      </c>
    </row>
    <row r="22" spans="1:11" s="110" customFormat="1" ht="21" customHeight="1">
      <c r="A22" s="111"/>
      <c r="B22" s="66" t="s">
        <v>116</v>
      </c>
      <c r="C22" s="67">
        <v>12</v>
      </c>
      <c r="D22" s="299">
        <f>+[4]Activo!D21</f>
        <v>305171468</v>
      </c>
      <c r="E22" s="299">
        <f>+[4]Activo!E21</f>
        <v>305171468</v>
      </c>
      <c r="F22" s="141"/>
      <c r="G22" s="295">
        <f t="shared" si="2"/>
        <v>0</v>
      </c>
      <c r="H22" s="316">
        <f t="shared" si="1"/>
        <v>0</v>
      </c>
      <c r="J22" s="110">
        <v>0</v>
      </c>
    </row>
    <row r="23" spans="1:11" s="110" customFormat="1" ht="21" customHeight="1">
      <c r="A23" s="111"/>
      <c r="B23" s="66" t="s">
        <v>117</v>
      </c>
      <c r="C23" s="67">
        <v>13</v>
      </c>
      <c r="D23" s="299">
        <f>+[4]Activo!D22</f>
        <v>1805370932</v>
      </c>
      <c r="E23" s="299">
        <f>+[4]Activo!E22</f>
        <v>1713897351</v>
      </c>
      <c r="F23" s="141"/>
      <c r="G23" s="295">
        <f t="shared" si="2"/>
        <v>91473581</v>
      </c>
      <c r="H23" s="316">
        <f t="shared" si="1"/>
        <v>5.3371680017259095E-2</v>
      </c>
      <c r="J23" s="110">
        <v>25383308</v>
      </c>
    </row>
    <row r="24" spans="1:11" s="110" customFormat="1" ht="21" customHeight="1">
      <c r="A24" s="111"/>
      <c r="B24" s="66" t="s">
        <v>293</v>
      </c>
      <c r="C24" s="67">
        <v>14</v>
      </c>
      <c r="D24" s="299">
        <f>+[4]Activo!D23</f>
        <v>4310355</v>
      </c>
      <c r="E24" s="299">
        <f>+[4]Activo!E23</f>
        <v>3998976</v>
      </c>
      <c r="F24" s="141"/>
      <c r="G24" s="295">
        <f>ROUND(+(D24-E24),0)</f>
        <v>311379</v>
      </c>
      <c r="H24" s="316">
        <f>IFERROR(G24/E24,1)</f>
        <v>7.7864683358939882E-2</v>
      </c>
      <c r="J24" s="110">
        <v>468350</v>
      </c>
    </row>
    <row r="25" spans="1:11" s="110" customFormat="1" ht="21" customHeight="1" thickBot="1">
      <c r="A25" s="111"/>
      <c r="B25" s="66" t="s">
        <v>243</v>
      </c>
      <c r="C25" s="67">
        <v>15</v>
      </c>
      <c r="D25" s="299">
        <f>+[4]Activo!D24</f>
        <v>59938069</v>
      </c>
      <c r="E25" s="299">
        <f>+[4]Activo!E24</f>
        <v>57860363</v>
      </c>
      <c r="F25" s="141"/>
      <c r="G25" s="295">
        <f t="shared" si="2"/>
        <v>2077706</v>
      </c>
      <c r="H25" s="316">
        <f t="shared" si="1"/>
        <v>3.5908969323265393E-2</v>
      </c>
      <c r="J25" s="110">
        <v>2528855</v>
      </c>
    </row>
    <row r="26" spans="1:11" s="110" customFormat="1" ht="21" customHeight="1" thickBot="1">
      <c r="B26" s="72" t="s">
        <v>118</v>
      </c>
      <c r="C26" s="69"/>
      <c r="D26" s="301">
        <f>SUM(D17:D25)</f>
        <v>2419695021</v>
      </c>
      <c r="E26" s="302">
        <f>SUM(E17:E25)</f>
        <v>2325871931</v>
      </c>
      <c r="F26" s="142"/>
      <c r="G26" s="317">
        <f t="shared" si="2"/>
        <v>93823090</v>
      </c>
      <c r="H26" s="318">
        <f t="shared" si="1"/>
        <v>4.0338889149266748E-2</v>
      </c>
      <c r="J26" s="110">
        <v>28889709</v>
      </c>
    </row>
    <row r="27" spans="1:11" s="111" customFormat="1" ht="11.25" customHeight="1" thickBot="1">
      <c r="A27" s="143"/>
      <c r="B27" s="66"/>
      <c r="C27" s="67"/>
      <c r="D27" s="299"/>
      <c r="E27" s="300"/>
      <c r="F27" s="141"/>
      <c r="G27" s="295"/>
      <c r="H27" s="316"/>
    </row>
    <row r="28" spans="1:11" s="110" customFormat="1" ht="21" customHeight="1" thickBot="1">
      <c r="B28" s="73" t="s">
        <v>244</v>
      </c>
      <c r="C28" s="74"/>
      <c r="D28" s="307">
        <f>+D15+D26</f>
        <v>2696476071</v>
      </c>
      <c r="E28" s="308">
        <f>+E15+E26</f>
        <v>2651930195</v>
      </c>
      <c r="F28" s="142"/>
      <c r="G28" s="317">
        <f>ROUND(+(D28-E28),0)</f>
        <v>44545876</v>
      </c>
      <c r="H28" s="318">
        <f t="shared" si="1"/>
        <v>1.6797529619741746E-2</v>
      </c>
      <c r="J28" s="110">
        <v>3504615</v>
      </c>
    </row>
    <row r="29" spans="1:11">
      <c r="B29" s="145"/>
      <c r="C29" s="146"/>
      <c r="D29" s="147"/>
      <c r="E29" s="147"/>
      <c r="F29" s="147"/>
      <c r="G29" s="297"/>
      <c r="H29" s="316"/>
    </row>
    <row r="30" spans="1:11" ht="13.5" thickBot="1">
      <c r="B30" s="145"/>
      <c r="C30" s="146"/>
      <c r="D30" s="147"/>
      <c r="E30" s="147"/>
      <c r="F30" s="147"/>
      <c r="G30" s="297"/>
      <c r="H30" s="316"/>
    </row>
    <row r="31" spans="1:11" s="110" customFormat="1" ht="20.25" customHeight="1">
      <c r="A31" s="136"/>
      <c r="B31" s="526" t="s">
        <v>119</v>
      </c>
      <c r="C31" s="528" t="s">
        <v>106</v>
      </c>
      <c r="D31" s="58">
        <f>+D3</f>
        <v>45291</v>
      </c>
      <c r="E31" s="59">
        <f>+E3</f>
        <v>44926</v>
      </c>
      <c r="G31" s="295"/>
      <c r="H31" s="316"/>
    </row>
    <row r="32" spans="1:11" s="110" customFormat="1" ht="18" customHeight="1">
      <c r="A32" s="111"/>
      <c r="B32" s="527"/>
      <c r="C32" s="529"/>
      <c r="D32" s="60" t="s">
        <v>8</v>
      </c>
      <c r="E32" s="61" t="s">
        <v>8</v>
      </c>
      <c r="G32" s="295"/>
      <c r="H32" s="316"/>
    </row>
    <row r="33" spans="1:12" s="110" customFormat="1" ht="18" customHeight="1">
      <c r="A33" s="111"/>
      <c r="B33" s="62" t="s">
        <v>120</v>
      </c>
      <c r="C33" s="75"/>
      <c r="D33" s="64"/>
      <c r="E33" s="65"/>
      <c r="G33" s="295"/>
      <c r="H33" s="316"/>
    </row>
    <row r="34" spans="1:12" s="111" customFormat="1" ht="18" customHeight="1">
      <c r="A34" s="143"/>
      <c r="B34" s="66" t="s">
        <v>229</v>
      </c>
      <c r="C34" s="67">
        <v>16</v>
      </c>
      <c r="D34" s="299">
        <f>+[4]Pasivo!D5</f>
        <v>155416801</v>
      </c>
      <c r="E34" s="299">
        <f>+[4]Pasivo!E5</f>
        <v>74347139</v>
      </c>
      <c r="F34" s="110"/>
      <c r="G34" s="295">
        <f t="shared" ref="G34:G42" si="3">ROUND(+(D34-E34),0)</f>
        <v>81069662</v>
      </c>
      <c r="H34" s="316">
        <f t="shared" si="1"/>
        <v>1.090420735625079</v>
      </c>
      <c r="J34" s="111">
        <v>46169287</v>
      </c>
    </row>
    <row r="35" spans="1:12" s="111" customFormat="1" ht="18" customHeight="1">
      <c r="A35" s="143"/>
      <c r="B35" s="66" t="s">
        <v>294</v>
      </c>
      <c r="C35" s="67">
        <v>14</v>
      </c>
      <c r="D35" s="299">
        <f>+[4]Pasivo!D6</f>
        <v>1756478</v>
      </c>
      <c r="E35" s="299">
        <f>+[4]Pasivo!E6</f>
        <v>1402307</v>
      </c>
      <c r="F35" s="110"/>
      <c r="G35" s="295">
        <f>ROUND(+(D35-E35),0)</f>
        <v>354171</v>
      </c>
      <c r="H35" s="316">
        <f>IFERROR(G35/E35,1)</f>
        <v>0.25256309780953812</v>
      </c>
      <c r="J35" s="111">
        <v>209862</v>
      </c>
    </row>
    <row r="36" spans="1:12" s="111" customFormat="1" ht="18" customHeight="1">
      <c r="A36" s="143"/>
      <c r="B36" s="66" t="s">
        <v>121</v>
      </c>
      <c r="C36" s="67">
        <v>17</v>
      </c>
      <c r="D36" s="299">
        <f>+[4]Pasivo!D7</f>
        <v>177869738</v>
      </c>
      <c r="E36" s="299">
        <f>+[4]Pasivo!E7</f>
        <v>138730009</v>
      </c>
      <c r="F36" s="110"/>
      <c r="G36" s="295">
        <f>ROUND(+(D36-E36),0)</f>
        <v>39139729</v>
      </c>
      <c r="H36" s="316">
        <f t="shared" si="1"/>
        <v>0.28212878584906603</v>
      </c>
      <c r="J36" s="111">
        <v>-1515771</v>
      </c>
    </row>
    <row r="37" spans="1:12" s="111" customFormat="1" ht="18" customHeight="1">
      <c r="A37" s="143"/>
      <c r="B37" s="66" t="s">
        <v>122</v>
      </c>
      <c r="C37" s="67">
        <v>6</v>
      </c>
      <c r="D37" s="299">
        <f>+[4]Pasivo!D8</f>
        <v>1583500</v>
      </c>
      <c r="E37" s="299">
        <f>+[4]Pasivo!E8</f>
        <v>5010030</v>
      </c>
      <c r="F37" s="110"/>
      <c r="G37" s="295">
        <f t="shared" si="3"/>
        <v>-3426530</v>
      </c>
      <c r="H37" s="316">
        <f t="shared" si="1"/>
        <v>-0.68393402833915162</v>
      </c>
      <c r="J37" s="111">
        <v>431698</v>
      </c>
    </row>
    <row r="38" spans="1:12" s="111" customFormat="1" ht="18" customHeight="1">
      <c r="A38" s="143"/>
      <c r="B38" s="66" t="s">
        <v>126</v>
      </c>
      <c r="C38" s="67">
        <v>18</v>
      </c>
      <c r="D38" s="299">
        <f>+[4]Pasivo!D9</f>
        <v>735780</v>
      </c>
      <c r="E38" s="299">
        <f>+[4]Pasivo!E9</f>
        <v>17987684</v>
      </c>
      <c r="F38" s="110"/>
      <c r="G38" s="295">
        <f t="shared" si="3"/>
        <v>-17251904</v>
      </c>
      <c r="H38" s="316">
        <f t="shared" si="1"/>
        <v>-0.95909534545970454</v>
      </c>
      <c r="J38" s="111">
        <v>-12194934</v>
      </c>
      <c r="L38" s="436">
        <v>24957873</v>
      </c>
    </row>
    <row r="39" spans="1:12" s="111" customFormat="1" ht="18" customHeight="1">
      <c r="A39" s="143"/>
      <c r="B39" s="66" t="s">
        <v>123</v>
      </c>
      <c r="C39" s="67">
        <v>8</v>
      </c>
      <c r="D39" s="299">
        <f>+[4]Pasivo!D10</f>
        <v>245000</v>
      </c>
      <c r="E39" s="299">
        <f>+[4]Pasivo!E10</f>
        <v>4802933</v>
      </c>
      <c r="F39" s="110"/>
      <c r="G39" s="295">
        <f t="shared" si="3"/>
        <v>-4557933</v>
      </c>
      <c r="H39" s="316">
        <f t="shared" si="1"/>
        <v>-0.9489895028725156</v>
      </c>
      <c r="J39" s="111">
        <v>-4706393</v>
      </c>
      <c r="L39" s="436">
        <v>24942898</v>
      </c>
    </row>
    <row r="40" spans="1:12" s="111" customFormat="1" ht="18" customHeight="1">
      <c r="A40" s="143"/>
      <c r="B40" s="66" t="s">
        <v>230</v>
      </c>
      <c r="C40" s="67">
        <v>19</v>
      </c>
      <c r="D40" s="299">
        <f>+[4]Pasivo!D11</f>
        <v>5985824</v>
      </c>
      <c r="E40" s="299">
        <f>+[4]Pasivo!E11</f>
        <v>5694492</v>
      </c>
      <c r="F40" s="110"/>
      <c r="G40" s="295">
        <f t="shared" si="3"/>
        <v>291332</v>
      </c>
      <c r="H40" s="316">
        <f t="shared" si="1"/>
        <v>5.1160314212400332E-2</v>
      </c>
      <c r="J40" s="111">
        <v>-2240691</v>
      </c>
      <c r="L40" s="110">
        <f>+L39-L38</f>
        <v>-14975</v>
      </c>
    </row>
    <row r="41" spans="1:12" s="111" customFormat="1" ht="18" customHeight="1" thickBot="1">
      <c r="A41" s="143"/>
      <c r="B41" s="66" t="s">
        <v>231</v>
      </c>
      <c r="C41" s="67">
        <v>20</v>
      </c>
      <c r="D41" s="299">
        <f>+[4]Pasivo!D12</f>
        <v>19041225</v>
      </c>
      <c r="E41" s="299">
        <f>+[4]Pasivo!E12</f>
        <v>18651560</v>
      </c>
      <c r="F41" s="110"/>
      <c r="G41" s="295">
        <f t="shared" si="3"/>
        <v>389665</v>
      </c>
      <c r="H41" s="316">
        <f t="shared" si="1"/>
        <v>2.0891818164271513E-2</v>
      </c>
      <c r="I41" s="404">
        <f>+G36-G44</f>
        <v>-56868463</v>
      </c>
      <c r="J41" s="111">
        <v>-1474987</v>
      </c>
    </row>
    <row r="42" spans="1:12" s="110" customFormat="1" ht="39" thickBot="1">
      <c r="A42" s="111"/>
      <c r="B42" s="76" t="s">
        <v>283</v>
      </c>
      <c r="C42" s="69"/>
      <c r="D42" s="301">
        <f>SUM(D34:D41)</f>
        <v>362634346</v>
      </c>
      <c r="E42" s="302">
        <f>SUM(E34:E41)</f>
        <v>266626154</v>
      </c>
      <c r="G42" s="317">
        <f t="shared" si="3"/>
        <v>96008192</v>
      </c>
      <c r="H42" s="318">
        <f t="shared" si="1"/>
        <v>0.36008542507799141</v>
      </c>
      <c r="J42" s="110">
        <v>24678071</v>
      </c>
    </row>
    <row r="43" spans="1:12" s="111" customFormat="1" ht="21.75" customHeight="1" thickBot="1">
      <c r="A43" s="143"/>
      <c r="B43" s="66" t="s">
        <v>317</v>
      </c>
      <c r="C43" s="67"/>
      <c r="D43" s="299"/>
      <c r="E43" s="65"/>
      <c r="F43" s="110"/>
      <c r="G43" s="295">
        <f>ROUND(+(D43-E43),0)</f>
        <v>0</v>
      </c>
      <c r="H43" s="316">
        <f>IFERROR(G43/E43,1)</f>
        <v>1</v>
      </c>
      <c r="J43" s="111">
        <v>0</v>
      </c>
    </row>
    <row r="44" spans="1:12" s="110" customFormat="1" ht="21" customHeight="1" thickBot="1">
      <c r="A44" s="111"/>
      <c r="B44" s="72" t="s">
        <v>124</v>
      </c>
      <c r="C44" s="77"/>
      <c r="D44" s="301">
        <f>+D42+D43</f>
        <v>362634346</v>
      </c>
      <c r="E44" s="302">
        <f>+E42+E43</f>
        <v>266626154</v>
      </c>
      <c r="G44" s="317">
        <f>ROUND(+(D44-E44),0)</f>
        <v>96008192</v>
      </c>
      <c r="H44" s="318">
        <f t="shared" si="1"/>
        <v>0.36008542507799141</v>
      </c>
      <c r="I44" s="457">
        <f>+H44+H15</f>
        <v>0.20895533748113174</v>
      </c>
      <c r="J44" s="110">
        <v>24678071</v>
      </c>
    </row>
    <row r="45" spans="1:12" s="111" customFormat="1" ht="21" customHeight="1">
      <c r="B45" s="62" t="s">
        <v>125</v>
      </c>
      <c r="C45" s="75"/>
      <c r="D45" s="299"/>
      <c r="E45" s="300"/>
      <c r="F45" s="110"/>
      <c r="G45" s="295"/>
      <c r="H45" s="316"/>
    </row>
    <row r="46" spans="1:12" s="111" customFormat="1" ht="18" customHeight="1">
      <c r="A46" s="143"/>
      <c r="B46" s="66" t="s">
        <v>229</v>
      </c>
      <c r="C46" s="67">
        <v>16</v>
      </c>
      <c r="D46" s="299">
        <f>+[4]Pasivo!D17</f>
        <v>1125060897</v>
      </c>
      <c r="E46" s="299">
        <f>+[4]Pasivo!E17</f>
        <v>1222905987</v>
      </c>
      <c r="F46" s="110"/>
      <c r="G46" s="295">
        <f t="shared" ref="G46:G54" si="4">ROUND(+(D46-E46),0)</f>
        <v>-97845090</v>
      </c>
      <c r="H46" s="316">
        <f t="shared" si="1"/>
        <v>-8.0010312354452481E-2</v>
      </c>
      <c r="J46" s="111">
        <v>-49643850</v>
      </c>
    </row>
    <row r="47" spans="1:12" s="111" customFormat="1" ht="18" customHeight="1">
      <c r="A47" s="143"/>
      <c r="B47" s="66" t="s">
        <v>294</v>
      </c>
      <c r="C47" s="67">
        <v>14</v>
      </c>
      <c r="D47" s="299">
        <f>+[4]Pasivo!D18</f>
        <v>2762179</v>
      </c>
      <c r="E47" s="299">
        <f>+[4]Pasivo!E18</f>
        <v>2667950</v>
      </c>
      <c r="F47" s="110"/>
      <c r="G47" s="295">
        <f>ROUND(+(D47-E47),0)</f>
        <v>94229</v>
      </c>
      <c r="H47" s="316">
        <f>IFERROR(G47/E47,1)</f>
        <v>3.5318877790063534E-2</v>
      </c>
      <c r="J47" s="111">
        <v>336141</v>
      </c>
    </row>
    <row r="48" spans="1:12" s="111" customFormat="1" ht="18" customHeight="1">
      <c r="A48" s="143"/>
      <c r="B48" s="66" t="s">
        <v>128</v>
      </c>
      <c r="C48" s="67">
        <v>17</v>
      </c>
      <c r="D48" s="299">
        <f>+[4]Pasivo!D19</f>
        <v>1181871</v>
      </c>
      <c r="E48" s="299">
        <f>+[4]Pasivo!E19</f>
        <v>1188753</v>
      </c>
      <c r="F48" s="110"/>
      <c r="G48" s="295">
        <f t="shared" si="4"/>
        <v>-6882</v>
      </c>
      <c r="H48" s="316">
        <f t="shared" si="1"/>
        <v>-5.789259837830062E-3</v>
      </c>
      <c r="J48" s="111">
        <v>2088</v>
      </c>
    </row>
    <row r="49" spans="1:10" s="111" customFormat="1" ht="18" hidden="1" customHeight="1">
      <c r="A49" s="143"/>
      <c r="B49" s="66" t="s">
        <v>122</v>
      </c>
      <c r="C49" s="67"/>
      <c r="D49" s="299">
        <f>+[4]Pasivo!D20</f>
        <v>0</v>
      </c>
      <c r="E49" s="299">
        <f>+[4]Pasivo!E20</f>
        <v>0</v>
      </c>
      <c r="F49" s="110"/>
      <c r="G49" s="295">
        <f>ROUND(+(D49-E49),0)</f>
        <v>0</v>
      </c>
      <c r="H49" s="316">
        <f>IFERROR(G49/E49,1)</f>
        <v>1</v>
      </c>
      <c r="J49" s="111">
        <v>0</v>
      </c>
    </row>
    <row r="50" spans="1:10" s="111" customFormat="1" ht="18" customHeight="1">
      <c r="B50" s="66" t="s">
        <v>126</v>
      </c>
      <c r="C50" s="67">
        <v>18</v>
      </c>
      <c r="D50" s="299">
        <f>+[4]Pasivo!D21</f>
        <v>1823379</v>
      </c>
      <c r="E50" s="299">
        <f>+[4]Pasivo!E21</f>
        <v>1735645</v>
      </c>
      <c r="F50" s="110"/>
      <c r="G50" s="295">
        <f t="shared" si="4"/>
        <v>87734</v>
      </c>
      <c r="H50" s="316">
        <f t="shared" si="1"/>
        <v>5.0548355222410114E-2</v>
      </c>
      <c r="J50" s="111">
        <v>915666</v>
      </c>
    </row>
    <row r="51" spans="1:10" s="111" customFormat="1" ht="18" customHeight="1">
      <c r="B51" s="66" t="s">
        <v>127</v>
      </c>
      <c r="C51" s="67">
        <v>15</v>
      </c>
      <c r="D51" s="299">
        <f>+[4]Pasivo!D22</f>
        <v>15207944</v>
      </c>
      <c r="E51" s="299">
        <f>+[4]Pasivo!E22</f>
        <v>16239000</v>
      </c>
      <c r="F51" s="110"/>
      <c r="G51" s="295">
        <f t="shared" si="4"/>
        <v>-1031056</v>
      </c>
      <c r="H51" s="316">
        <f t="shared" si="1"/>
        <v>-6.3492579592339435E-2</v>
      </c>
      <c r="J51" s="111">
        <v>-854867</v>
      </c>
    </row>
    <row r="52" spans="1:10" s="111" customFormat="1" ht="18" customHeight="1">
      <c r="B52" s="66" t="s">
        <v>230</v>
      </c>
      <c r="C52" s="67">
        <v>19</v>
      </c>
      <c r="D52" s="299">
        <f>+[4]Pasivo!D23</f>
        <v>22322555</v>
      </c>
      <c r="E52" s="299">
        <f>+[4]Pasivo!E23</f>
        <v>22128779</v>
      </c>
      <c r="F52" s="110"/>
      <c r="G52" s="295">
        <f t="shared" si="4"/>
        <v>193776</v>
      </c>
      <c r="H52" s="316">
        <f t="shared" si="1"/>
        <v>8.7567416168781841E-3</v>
      </c>
      <c r="J52" s="111">
        <v>-204026</v>
      </c>
    </row>
    <row r="53" spans="1:10" s="111" customFormat="1" ht="18" customHeight="1" thickBot="1">
      <c r="B53" s="66" t="s">
        <v>231</v>
      </c>
      <c r="C53" s="67">
        <v>20</v>
      </c>
      <c r="D53" s="299">
        <f>+[4]Pasivo!D24</f>
        <v>7454642</v>
      </c>
      <c r="E53" s="299">
        <f>+[4]Pasivo!E24</f>
        <v>8041634</v>
      </c>
      <c r="F53" s="110"/>
      <c r="G53" s="295">
        <f t="shared" si="4"/>
        <v>-586992</v>
      </c>
      <c r="H53" s="316">
        <f t="shared" si="1"/>
        <v>-7.2994120349172811E-2</v>
      </c>
      <c r="J53" s="111">
        <v>-425193</v>
      </c>
    </row>
    <row r="54" spans="1:10" s="111" customFormat="1" ht="21" customHeight="1" thickBot="1">
      <c r="B54" s="72" t="s">
        <v>245</v>
      </c>
      <c r="C54" s="77"/>
      <c r="D54" s="301">
        <f>SUM(D46:D53)</f>
        <v>1175813467</v>
      </c>
      <c r="E54" s="302">
        <f>SUM(E46:E53)</f>
        <v>1274907748</v>
      </c>
      <c r="F54" s="110"/>
      <c r="G54" s="317">
        <f t="shared" si="4"/>
        <v>-99094281</v>
      </c>
      <c r="H54" s="318">
        <f t="shared" si="1"/>
        <v>-7.7726628577991827E-2</v>
      </c>
      <c r="J54" s="111">
        <v>-49874041</v>
      </c>
    </row>
    <row r="55" spans="1:10" s="111" customFormat="1" ht="4.5" customHeight="1" thickBot="1">
      <c r="B55" s="66"/>
      <c r="C55" s="67"/>
      <c r="D55" s="299"/>
      <c r="E55" s="300"/>
      <c r="F55" s="110"/>
      <c r="G55" s="295"/>
      <c r="H55" s="316"/>
    </row>
    <row r="56" spans="1:10" s="111" customFormat="1" ht="21" customHeight="1" thickBot="1">
      <c r="B56" s="78" t="s">
        <v>129</v>
      </c>
      <c r="C56" s="77"/>
      <c r="D56" s="301">
        <f>+D54+D44</f>
        <v>1538447813</v>
      </c>
      <c r="E56" s="302">
        <f>+E54+E44</f>
        <v>1541533902</v>
      </c>
      <c r="F56" s="110"/>
      <c r="G56" s="317">
        <f>ROUND(+(D56-E56),0)</f>
        <v>-3086089</v>
      </c>
      <c r="H56" s="318">
        <f t="shared" ref="H56:H67" si="5">IFERROR(G56/E56,100)</f>
        <v>-2.0019598634814844E-3</v>
      </c>
      <c r="J56" s="111">
        <v>-25195970</v>
      </c>
    </row>
    <row r="57" spans="1:10" s="111" customFormat="1" ht="21" customHeight="1">
      <c r="B57" s="62" t="s">
        <v>246</v>
      </c>
      <c r="C57" s="79"/>
      <c r="D57" s="309"/>
      <c r="E57" s="310"/>
      <c r="F57" s="110"/>
      <c r="G57" s="295"/>
      <c r="H57" s="316"/>
    </row>
    <row r="58" spans="1:10" s="111" customFormat="1" ht="18" customHeight="1">
      <c r="B58" s="66" t="s">
        <v>130</v>
      </c>
      <c r="C58" s="67">
        <v>21</v>
      </c>
      <c r="D58" s="299">
        <f>+[4]Pasivo!D29</f>
        <v>468358402</v>
      </c>
      <c r="E58" s="299">
        <f>+[4]Pasivo!E29</f>
        <v>468358402</v>
      </c>
      <c r="F58" s="110"/>
      <c r="G58" s="295">
        <f t="shared" ref="G58:G65" si="6">ROUND(+(D58-E58),0)</f>
        <v>0</v>
      </c>
      <c r="H58" s="316">
        <f t="shared" si="5"/>
        <v>0</v>
      </c>
      <c r="J58" s="111">
        <v>0</v>
      </c>
    </row>
    <row r="59" spans="1:10" s="111" customFormat="1" ht="18" customHeight="1">
      <c r="B59" s="66" t="s">
        <v>131</v>
      </c>
      <c r="C59" s="67">
        <v>21</v>
      </c>
      <c r="D59" s="299">
        <f>+[4]Pasivo!D30</f>
        <v>203895643.88104901</v>
      </c>
      <c r="E59" s="299">
        <f>+[4]Pasivo!E30</f>
        <v>181974048</v>
      </c>
      <c r="F59" s="110"/>
      <c r="G59" s="295">
        <f>ROUND(+(D59-E59),0)</f>
        <v>21921596</v>
      </c>
      <c r="H59" s="316">
        <f t="shared" si="5"/>
        <v>0.1204655072573865</v>
      </c>
      <c r="J59" s="111">
        <v>1834132</v>
      </c>
    </row>
    <row r="60" spans="1:10" s="111" customFormat="1" ht="18" customHeight="1">
      <c r="B60" s="80" t="s">
        <v>232</v>
      </c>
      <c r="C60" s="67">
        <v>21</v>
      </c>
      <c r="D60" s="299">
        <f>+[4]Pasivo!D31</f>
        <v>0</v>
      </c>
      <c r="E60" s="299">
        <f>+[4]Pasivo!E31</f>
        <v>0</v>
      </c>
      <c r="F60" s="110"/>
      <c r="G60" s="295">
        <f t="shared" si="6"/>
        <v>0</v>
      </c>
      <c r="H60" s="316">
        <f t="shared" si="5"/>
        <v>100</v>
      </c>
      <c r="J60" s="111">
        <v>0</v>
      </c>
    </row>
    <row r="61" spans="1:10" s="110" customFormat="1" ht="18" customHeight="1">
      <c r="A61" s="111"/>
      <c r="B61" s="66" t="s">
        <v>132</v>
      </c>
      <c r="C61" s="67">
        <v>21</v>
      </c>
      <c r="D61" s="299">
        <f>+[4]Pasivo!D32</f>
        <v>-37268415</v>
      </c>
      <c r="E61" s="299">
        <f>+[4]Pasivo!E32</f>
        <v>-37268415</v>
      </c>
      <c r="G61" s="295">
        <f t="shared" si="6"/>
        <v>0</v>
      </c>
      <c r="H61" s="316">
        <f t="shared" si="5"/>
        <v>0</v>
      </c>
      <c r="J61" s="110">
        <v>0</v>
      </c>
    </row>
    <row r="62" spans="1:10" s="110" customFormat="1" ht="18" customHeight="1" thickBot="1">
      <c r="A62" s="111"/>
      <c r="B62" s="66" t="s">
        <v>321</v>
      </c>
      <c r="C62" s="67">
        <v>21</v>
      </c>
      <c r="D62" s="299">
        <f>+[4]Pasivo!D33</f>
        <v>80864058.224631608</v>
      </c>
      <c r="E62" s="299">
        <f>+[4]Pasivo!E33</f>
        <v>78730413</v>
      </c>
      <c r="G62" s="295"/>
      <c r="H62" s="316"/>
    </row>
    <row r="63" spans="1:10" s="110" customFormat="1" ht="21.75" customHeight="1" thickBot="1">
      <c r="A63" s="111"/>
      <c r="B63" s="81" t="s">
        <v>94</v>
      </c>
      <c r="C63" s="67"/>
      <c r="D63" s="306">
        <f>SUM(D58:D62)</f>
        <v>715849689.1056807</v>
      </c>
      <c r="E63" s="306">
        <f>SUM(E58:E62)</f>
        <v>691794448</v>
      </c>
      <c r="G63" s="317">
        <f t="shared" si="6"/>
        <v>24055241</v>
      </c>
      <c r="H63" s="318">
        <f t="shared" si="5"/>
        <v>3.4772237721109898E-2</v>
      </c>
      <c r="J63" s="110">
        <v>1834132</v>
      </c>
    </row>
    <row r="64" spans="1:10" s="110" customFormat="1" ht="21.75" customHeight="1" thickBot="1">
      <c r="A64" s="111"/>
      <c r="B64" s="82" t="s">
        <v>228</v>
      </c>
      <c r="C64" s="67">
        <v>22</v>
      </c>
      <c r="D64" s="299">
        <f>+[4]Pasivo!D35</f>
        <v>442178569</v>
      </c>
      <c r="E64" s="299">
        <f>+[4]Pasivo!E35</f>
        <v>418601845</v>
      </c>
      <c r="G64" s="295">
        <f t="shared" si="6"/>
        <v>23576724</v>
      </c>
      <c r="H64" s="316">
        <f t="shared" si="5"/>
        <v>5.6322551564482473E-2</v>
      </c>
      <c r="J64" s="110">
        <v>26866453</v>
      </c>
    </row>
    <row r="65" spans="1:10" s="110" customFormat="1" ht="18" customHeight="1" thickBot="1">
      <c r="A65" s="111"/>
      <c r="B65" s="72" t="s">
        <v>247</v>
      </c>
      <c r="C65" s="83"/>
      <c r="D65" s="301">
        <f>+D63+D64</f>
        <v>1158028258.1056807</v>
      </c>
      <c r="E65" s="302">
        <f>+E63+E64</f>
        <v>1110396293</v>
      </c>
      <c r="G65" s="317">
        <f t="shared" si="6"/>
        <v>47631965</v>
      </c>
      <c r="H65" s="318">
        <f t="shared" si="5"/>
        <v>4.2896365288928429E-2</v>
      </c>
      <c r="J65" s="110">
        <v>28700585</v>
      </c>
    </row>
    <row r="66" spans="1:10" s="111" customFormat="1" ht="11.25" customHeight="1" thickBot="1">
      <c r="B66" s="66"/>
      <c r="C66" s="67"/>
      <c r="D66" s="299"/>
      <c r="E66" s="300"/>
      <c r="F66" s="110"/>
      <c r="G66" s="295"/>
      <c r="H66" s="316"/>
    </row>
    <row r="67" spans="1:10" s="110" customFormat="1" ht="20.25" customHeight="1" thickBot="1">
      <c r="A67" s="111"/>
      <c r="B67" s="84" t="s">
        <v>248</v>
      </c>
      <c r="C67" s="85"/>
      <c r="D67" s="307">
        <f>+D65+D56</f>
        <v>2696476071.1056805</v>
      </c>
      <c r="E67" s="308">
        <f>+E65+E56</f>
        <v>2651930195</v>
      </c>
      <c r="G67" s="317">
        <f>ROUND(+(D67-E67),0)</f>
        <v>44545876</v>
      </c>
      <c r="H67" s="318">
        <f t="shared" si="5"/>
        <v>1.6797529619741746E-2</v>
      </c>
      <c r="J67" s="110">
        <v>3504615</v>
      </c>
    </row>
    <row r="69" spans="1:10" ht="15" customHeight="1">
      <c r="B69" s="371" t="s">
        <v>288</v>
      </c>
      <c r="C69" s="371"/>
      <c r="D69" s="372">
        <f>+D67-D28</f>
        <v>0.10568046569824219</v>
      </c>
      <c r="E69" s="372">
        <f>+E67-E28</f>
        <v>0</v>
      </c>
    </row>
  </sheetData>
  <mergeCells count="5">
    <mergeCell ref="B3:B4"/>
    <mergeCell ref="C3:C4"/>
    <mergeCell ref="B31:B32"/>
    <mergeCell ref="C31:C32"/>
    <mergeCell ref="G3:H3"/>
  </mergeCells>
  <pageMargins left="0.27559055118110237" right="0.47244094488188981" top="0.74803149606299213" bottom="0.74803149606299213" header="0.31496062992125984" footer="0.31496062992125984"/>
  <pageSetup fitToHeight="2" orientation="portrait" r:id="rId1"/>
  <rowBreaks count="1" manualBreakCount="1">
    <brk id="28" min="1" max="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000"/>
    <pageSetUpPr fitToPage="1"/>
  </sheetPr>
  <dimension ref="A1:P33"/>
  <sheetViews>
    <sheetView showGridLines="0" zoomScale="90" zoomScaleNormal="90" workbookViewId="0">
      <selection activeCell="K6" sqref="K6"/>
    </sheetView>
  </sheetViews>
  <sheetFormatPr baseColWidth="10" defaultColWidth="11.42578125" defaultRowHeight="12.75"/>
  <cols>
    <col min="1" max="1" width="7.5703125" style="119" customWidth="1"/>
    <col min="2" max="2" width="50.42578125" style="119" customWidth="1"/>
    <col min="3" max="3" width="7.7109375" style="119" customWidth="1"/>
    <col min="4" max="4" width="12.42578125" style="119" bestFit="1" customWidth="1"/>
    <col min="5" max="5" width="13.85546875" style="119" customWidth="1"/>
    <col min="6" max="6" width="12" style="119" bestFit="1" customWidth="1"/>
    <col min="7" max="7" width="11.42578125" style="119" customWidth="1"/>
    <col min="8" max="8" width="5" style="119" customWidth="1"/>
    <col min="9" max="9" width="12" style="311" bestFit="1" customWidth="1"/>
    <col min="10" max="11" width="12.7109375" style="312" customWidth="1"/>
    <col min="12" max="12" width="12" style="311" bestFit="1" customWidth="1"/>
    <col min="13" max="13" width="12.7109375" style="312" customWidth="1"/>
    <col min="14" max="16384" width="11.42578125" style="119"/>
  </cols>
  <sheetData>
    <row r="1" spans="1:16">
      <c r="C1" s="135"/>
    </row>
    <row r="2" spans="1:16" ht="13.5" thickBot="1">
      <c r="C2" s="135"/>
      <c r="I2" s="538" t="s">
        <v>234</v>
      </c>
      <c r="J2" s="538"/>
      <c r="K2" s="355"/>
      <c r="L2" s="538" t="s">
        <v>235</v>
      </c>
      <c r="M2" s="538"/>
      <c r="P2" s="119" t="s">
        <v>235</v>
      </c>
    </row>
    <row r="3" spans="1:16" s="111" customFormat="1">
      <c r="A3" s="136"/>
      <c r="B3" s="532" t="s">
        <v>284</v>
      </c>
      <c r="C3" s="534" t="s">
        <v>106</v>
      </c>
      <c r="D3" s="394">
        <v>45291</v>
      </c>
      <c r="E3" s="394">
        <v>44926</v>
      </c>
      <c r="F3" s="394">
        <v>45199</v>
      </c>
      <c r="G3" s="394">
        <v>44834</v>
      </c>
      <c r="I3" s="536" t="s">
        <v>233</v>
      </c>
      <c r="J3" s="537"/>
      <c r="K3" s="356"/>
      <c r="L3" s="536" t="s">
        <v>233</v>
      </c>
      <c r="M3" s="537"/>
      <c r="O3" s="111" t="s">
        <v>344</v>
      </c>
      <c r="P3" s="111" t="s">
        <v>233</v>
      </c>
    </row>
    <row r="4" spans="1:16" s="111" customFormat="1" ht="16.5" customHeight="1">
      <c r="B4" s="533"/>
      <c r="C4" s="535"/>
      <c r="D4" s="60" t="s">
        <v>362</v>
      </c>
      <c r="E4" s="60" t="s">
        <v>362</v>
      </c>
      <c r="F4" s="387" t="s">
        <v>362</v>
      </c>
      <c r="G4" s="388" t="s">
        <v>362</v>
      </c>
      <c r="I4" s="314" t="s">
        <v>362</v>
      </c>
      <c r="J4" s="315" t="s">
        <v>70</v>
      </c>
      <c r="K4" s="357"/>
      <c r="L4" s="314" t="s">
        <v>362</v>
      </c>
      <c r="M4" s="315"/>
      <c r="O4" s="111" t="s">
        <v>362</v>
      </c>
      <c r="P4" s="111" t="s">
        <v>362</v>
      </c>
    </row>
    <row r="5" spans="1:16" s="111" customFormat="1" ht="21" customHeight="1">
      <c r="B5" s="86" t="s">
        <v>285</v>
      </c>
      <c r="C5" s="67">
        <v>21</v>
      </c>
      <c r="D5" s="64">
        <f>+[4]Resultado!D4</f>
        <v>640855854</v>
      </c>
      <c r="E5" s="64">
        <f>+[4]Resultado!E4</f>
        <v>580468054</v>
      </c>
      <c r="F5" s="64">
        <v>475235519</v>
      </c>
      <c r="G5" s="64">
        <f>+[9]Resultado!E4</f>
        <v>418745502</v>
      </c>
      <c r="H5" s="110"/>
      <c r="I5" s="295">
        <f>+ROUND((D5-F5),0)</f>
        <v>165620335</v>
      </c>
      <c r="J5" s="295">
        <f>+ROUND((E5-G5),0)</f>
        <v>161722552</v>
      </c>
      <c r="K5" s="358"/>
      <c r="L5" s="295">
        <f>+D5-E5</f>
        <v>60387800</v>
      </c>
      <c r="M5" s="319">
        <f>IFERROR(L5/G5,1)</f>
        <v>0.14421122068554185</v>
      </c>
      <c r="N5" s="402"/>
      <c r="O5" s="111">
        <v>153443847</v>
      </c>
      <c r="P5" s="111">
        <v>22559918</v>
      </c>
    </row>
    <row r="6" spans="1:16" s="111" customFormat="1" ht="21" customHeight="1">
      <c r="B6" s="86" t="s">
        <v>100</v>
      </c>
      <c r="C6" s="67"/>
      <c r="D6" s="64">
        <f>+[4]Resultado!D5</f>
        <v>-85362422</v>
      </c>
      <c r="E6" s="64">
        <f>+[4]Resultado!E5</f>
        <v>-79574329</v>
      </c>
      <c r="F6" s="64">
        <v>-68296428</v>
      </c>
      <c r="G6" s="64">
        <f>+[9]Resultado!E5</f>
        <v>-57345763</v>
      </c>
      <c r="H6" s="110"/>
      <c r="I6" s="295">
        <f>+ROUND((D6-F6),0)</f>
        <v>-17065994</v>
      </c>
      <c r="J6" s="295">
        <f t="shared" ref="J6:J28" si="0">+ROUND((E6-G6),0)</f>
        <v>-22228566</v>
      </c>
      <c r="K6" s="496">
        <f>+J6-I6</f>
        <v>-5162572</v>
      </c>
      <c r="L6" s="295">
        <f t="shared" ref="L6:L28" si="1">+D6-E6</f>
        <v>-5788093</v>
      </c>
      <c r="M6" s="319">
        <f t="shared" ref="M6:M28" si="2">IFERROR(L6/G6,1)</f>
        <v>0.10093322849327159</v>
      </c>
      <c r="O6" s="111">
        <v>-22937295</v>
      </c>
      <c r="P6" s="111">
        <v>-3620790</v>
      </c>
    </row>
    <row r="7" spans="1:16" s="111" customFormat="1" ht="21" customHeight="1">
      <c r="B7" s="86" t="s">
        <v>91</v>
      </c>
      <c r="C7" s="67">
        <f>+[10]Pasivo!C11</f>
        <v>18</v>
      </c>
      <c r="D7" s="64">
        <f>+[4]Resultado!D6</f>
        <v>-76753766</v>
      </c>
      <c r="E7" s="64">
        <f>+[4]Resultado!E6</f>
        <v>-66542438</v>
      </c>
      <c r="F7" s="64">
        <v>-55865906</v>
      </c>
      <c r="G7" s="64">
        <f>+[9]Resultado!E6</f>
        <v>-47863813</v>
      </c>
      <c r="H7" s="110"/>
      <c r="I7" s="295">
        <f t="shared" ref="I7:I28" si="3">+ROUND((D7-F7),0)</f>
        <v>-20887860</v>
      </c>
      <c r="J7" s="295">
        <f t="shared" si="0"/>
        <v>-18678625</v>
      </c>
      <c r="K7" s="496">
        <f>+J7-I7</f>
        <v>2209235</v>
      </c>
      <c r="L7" s="295">
        <f t="shared" si="1"/>
        <v>-10211328</v>
      </c>
      <c r="M7" s="319">
        <f t="shared" si="2"/>
        <v>0.21334129815357586</v>
      </c>
      <c r="O7" s="111">
        <v>-20131108</v>
      </c>
      <c r="P7" s="111">
        <v>-3132403</v>
      </c>
    </row>
    <row r="8" spans="1:16" s="111" customFormat="1" ht="21" customHeight="1">
      <c r="B8" s="86" t="s">
        <v>92</v>
      </c>
      <c r="C8" s="88" t="s">
        <v>286</v>
      </c>
      <c r="D8" s="64">
        <f>+[4]Resultado!D7</f>
        <v>-77697080</v>
      </c>
      <c r="E8" s="64">
        <f>+[4]Resultado!E7</f>
        <v>-74820917</v>
      </c>
      <c r="F8" s="64">
        <v>-56574217</v>
      </c>
      <c r="G8" s="64">
        <f>+[9]Resultado!E7</f>
        <v>-55474301</v>
      </c>
      <c r="H8" s="110"/>
      <c r="I8" s="295">
        <f t="shared" si="3"/>
        <v>-21122863</v>
      </c>
      <c r="J8" s="295">
        <f t="shared" si="0"/>
        <v>-19346616</v>
      </c>
      <c r="K8" s="358"/>
      <c r="L8" s="295">
        <f t="shared" si="1"/>
        <v>-2876163</v>
      </c>
      <c r="M8" s="319">
        <f t="shared" si="2"/>
        <v>5.184676414399525E-2</v>
      </c>
      <c r="O8" s="111">
        <v>-18480782</v>
      </c>
      <c r="P8" s="111">
        <v>497416</v>
      </c>
    </row>
    <row r="9" spans="1:16" s="111" customFormat="1" ht="21" customHeight="1">
      <c r="B9" s="89" t="s">
        <v>322</v>
      </c>
      <c r="C9" s="88"/>
      <c r="D9" s="64">
        <v>0</v>
      </c>
      <c r="E9" s="64">
        <v>0</v>
      </c>
      <c r="F9" s="64"/>
      <c r="G9" s="64"/>
      <c r="H9" s="110"/>
      <c r="I9" s="295">
        <f t="shared" si="3"/>
        <v>0</v>
      </c>
      <c r="J9" s="295">
        <f t="shared" si="0"/>
        <v>0</v>
      </c>
      <c r="K9" s="358"/>
      <c r="L9" s="295">
        <f t="shared" si="1"/>
        <v>0</v>
      </c>
      <c r="M9" s="319">
        <f t="shared" si="2"/>
        <v>1</v>
      </c>
      <c r="O9" s="111">
        <v>3119261</v>
      </c>
      <c r="P9" s="111">
        <v>5395405</v>
      </c>
    </row>
    <row r="10" spans="1:16" s="111" customFormat="1" ht="21" customHeight="1">
      <c r="B10" s="86" t="s">
        <v>93</v>
      </c>
      <c r="C10" s="67">
        <v>22</v>
      </c>
      <c r="D10" s="64">
        <f>+[4]Resultado!D8</f>
        <v>-149720736</v>
      </c>
      <c r="E10" s="64">
        <f>+[4]Resultado!E8</f>
        <v>-126198987</v>
      </c>
      <c r="F10" s="64">
        <v>-110473443</v>
      </c>
      <c r="G10" s="64">
        <f>+[9]Resultado!E8</f>
        <v>-91768948</v>
      </c>
      <c r="H10" s="110"/>
      <c r="I10" s="295">
        <f t="shared" si="3"/>
        <v>-39247293</v>
      </c>
      <c r="J10" s="295">
        <f t="shared" si="0"/>
        <v>-34430039</v>
      </c>
      <c r="K10" s="358"/>
      <c r="L10" s="295">
        <f t="shared" si="1"/>
        <v>-23521749</v>
      </c>
      <c r="M10" s="319">
        <f t="shared" si="2"/>
        <v>0.25631490294516618</v>
      </c>
      <c r="O10" s="111">
        <v>-38282319</v>
      </c>
      <c r="P10" s="111">
        <v>-10272506</v>
      </c>
    </row>
    <row r="11" spans="1:16" s="111" customFormat="1" ht="21" customHeight="1">
      <c r="B11" s="86" t="s">
        <v>274</v>
      </c>
      <c r="C11" s="67">
        <v>23</v>
      </c>
      <c r="D11" s="64">
        <f>+[4]Resultado!D9</f>
        <v>3336545</v>
      </c>
      <c r="E11" s="64">
        <f>+[4]Resultado!E9</f>
        <v>-1521833</v>
      </c>
      <c r="F11" s="64">
        <v>-1774124</v>
      </c>
      <c r="G11" s="64">
        <f>+[9]Resultado!E9</f>
        <v>-1481148</v>
      </c>
      <c r="H11" s="110"/>
      <c r="I11" s="295">
        <f t="shared" si="3"/>
        <v>5110669</v>
      </c>
      <c r="J11" s="295">
        <f t="shared" si="0"/>
        <v>-40685</v>
      </c>
      <c r="K11" s="358"/>
      <c r="L11" s="295">
        <f t="shared" si="1"/>
        <v>4858378</v>
      </c>
      <c r="M11" s="319">
        <f t="shared" si="2"/>
        <v>-3.2801435103041694</v>
      </c>
      <c r="O11" s="111">
        <v>-1279921</v>
      </c>
      <c r="P11" s="111">
        <v>-325151</v>
      </c>
    </row>
    <row r="12" spans="1:16" s="111" customFormat="1" ht="21" customHeight="1">
      <c r="B12" s="330" t="s">
        <v>295</v>
      </c>
      <c r="C12" s="331"/>
      <c r="D12" s="331">
        <f>+SUM(D5:D11)</f>
        <v>254658395</v>
      </c>
      <c r="E12" s="331">
        <f>+SUM(E5:E11)</f>
        <v>231809550</v>
      </c>
      <c r="F12" s="331">
        <f>+SUM(F5:F11)</f>
        <v>182251401</v>
      </c>
      <c r="G12" s="331">
        <f>+SUM(G5:G11)</f>
        <v>164811529</v>
      </c>
      <c r="H12" s="110"/>
      <c r="I12" s="295">
        <f t="shared" si="3"/>
        <v>72406994</v>
      </c>
      <c r="J12" s="295">
        <f t="shared" si="0"/>
        <v>66998021</v>
      </c>
      <c r="K12" s="358"/>
      <c r="L12" s="295">
        <f t="shared" si="1"/>
        <v>22848845</v>
      </c>
      <c r="M12" s="319"/>
      <c r="O12" s="111">
        <v>55451683</v>
      </c>
    </row>
    <row r="13" spans="1:16" s="111" customFormat="1" ht="21" customHeight="1">
      <c r="B13" s="86" t="s">
        <v>97</v>
      </c>
      <c r="C13" s="67">
        <f>+C11</f>
        <v>23</v>
      </c>
      <c r="D13" s="64">
        <f>+[4]Resultado!D11</f>
        <v>15948850</v>
      </c>
      <c r="E13" s="64">
        <f>+[4]Resultado!E11</f>
        <v>16022604</v>
      </c>
      <c r="F13" s="64">
        <f>+[9]Resultado!D11</f>
        <v>12898623</v>
      </c>
      <c r="G13" s="64">
        <f>+[9]Resultado!E11</f>
        <v>9467235</v>
      </c>
      <c r="H13" s="110"/>
      <c r="I13" s="295">
        <f t="shared" si="3"/>
        <v>3050227</v>
      </c>
      <c r="J13" s="295">
        <f t="shared" si="0"/>
        <v>6555369</v>
      </c>
      <c r="K13" s="358"/>
      <c r="L13" s="295">
        <f t="shared" si="1"/>
        <v>-73754</v>
      </c>
      <c r="M13" s="319">
        <f t="shared" si="2"/>
        <v>-7.790447791778698E-3</v>
      </c>
      <c r="O13" s="111">
        <v>7264572</v>
      </c>
      <c r="P13" s="111">
        <v>3312334</v>
      </c>
    </row>
    <row r="14" spans="1:16" s="111" customFormat="1" ht="21" customHeight="1">
      <c r="B14" s="86" t="s">
        <v>249</v>
      </c>
      <c r="C14" s="67">
        <f>+C13</f>
        <v>23</v>
      </c>
      <c r="D14" s="64">
        <f>+[4]Resultado!D12</f>
        <v>-48853914</v>
      </c>
      <c r="E14" s="64">
        <f>+[4]Resultado!E12</f>
        <v>-36613290</v>
      </c>
      <c r="F14" s="64">
        <f>+[9]Resultado!D12</f>
        <v>-36684053</v>
      </c>
      <c r="G14" s="64">
        <f>+[9]Resultado!E12</f>
        <v>-24587769</v>
      </c>
      <c r="H14" s="110"/>
      <c r="I14" s="295">
        <f t="shared" si="3"/>
        <v>-12169861</v>
      </c>
      <c r="J14" s="295">
        <f t="shared" si="0"/>
        <v>-12025521</v>
      </c>
      <c r="K14" s="358"/>
      <c r="L14" s="295">
        <f t="shared" si="1"/>
        <v>-12240624</v>
      </c>
      <c r="M14" s="319">
        <f t="shared" si="2"/>
        <v>0.49783386203115865</v>
      </c>
      <c r="O14" s="111">
        <v>-12512574</v>
      </c>
      <c r="P14" s="111">
        <v>-4722344</v>
      </c>
    </row>
    <row r="15" spans="1:16" s="111" customFormat="1" ht="21" customHeight="1">
      <c r="B15" s="458" t="s">
        <v>396</v>
      </c>
      <c r="C15" s="459">
        <v>24</v>
      </c>
      <c r="D15" s="64">
        <f>+[4]Resultado!D13</f>
        <v>-12316346</v>
      </c>
      <c r="E15" s="64">
        <f>+[4]Resultado!E13</f>
        <v>-13830357</v>
      </c>
      <c r="F15" s="64">
        <f>+[9]Resultado!D13</f>
        <v>-10816911</v>
      </c>
      <c r="G15" s="64">
        <f>+[9]Resultado!E13</f>
        <v>-11078618</v>
      </c>
      <c r="H15" s="110"/>
      <c r="I15" s="295">
        <f t="shared" si="3"/>
        <v>-1499435</v>
      </c>
      <c r="J15" s="295">
        <f t="shared" si="0"/>
        <v>-2751739</v>
      </c>
      <c r="K15" s="358"/>
      <c r="L15" s="295">
        <f t="shared" si="1"/>
        <v>1514011</v>
      </c>
      <c r="M15" s="319"/>
    </row>
    <row r="16" spans="1:16" s="111" customFormat="1" ht="21" customHeight="1">
      <c r="B16" s="86" t="s">
        <v>296</v>
      </c>
      <c r="C16" s="67">
        <v>24</v>
      </c>
      <c r="D16" s="64">
        <f>+[4]Resultado!D14</f>
        <v>1945731</v>
      </c>
      <c r="E16" s="64">
        <f>+[4]Resultado!E14</f>
        <v>-853529</v>
      </c>
      <c r="F16" s="64">
        <f>+[9]Resultado!D14</f>
        <v>2514886</v>
      </c>
      <c r="G16" s="64">
        <f>+[9]Resultado!E14</f>
        <v>-1715551</v>
      </c>
      <c r="H16" s="110"/>
      <c r="I16" s="295">
        <f t="shared" si="3"/>
        <v>-569155</v>
      </c>
      <c r="J16" s="295">
        <f t="shared" si="0"/>
        <v>862022</v>
      </c>
      <c r="K16" s="358"/>
      <c r="L16" s="295">
        <f t="shared" si="1"/>
        <v>2799260</v>
      </c>
      <c r="M16" s="319">
        <f t="shared" si="2"/>
        <v>-1.6316973380564028</v>
      </c>
      <c r="O16" s="111">
        <v>429871</v>
      </c>
      <c r="P16" s="111">
        <v>1916967</v>
      </c>
    </row>
    <row r="17" spans="2:16" s="111" customFormat="1" ht="21" customHeight="1">
      <c r="B17" s="86" t="s">
        <v>133</v>
      </c>
      <c r="C17" s="67">
        <v>25</v>
      </c>
      <c r="D17" s="64">
        <f>+[4]Resultado!D15</f>
        <v>-45658660</v>
      </c>
      <c r="E17" s="64">
        <f>+[4]Resultado!E15</f>
        <v>-115252738</v>
      </c>
      <c r="F17" s="64">
        <f>+[9]Resultado!D15</f>
        <v>-29887119</v>
      </c>
      <c r="G17" s="64">
        <f>+[9]Resultado!E15</f>
        <v>-92260692</v>
      </c>
      <c r="H17" s="110"/>
      <c r="I17" s="295">
        <f t="shared" si="3"/>
        <v>-15771541</v>
      </c>
      <c r="J17" s="295">
        <f t="shared" si="0"/>
        <v>-22992046</v>
      </c>
      <c r="K17" s="358"/>
      <c r="L17" s="295">
        <f t="shared" si="1"/>
        <v>69594078</v>
      </c>
      <c r="M17" s="319">
        <f t="shared" si="2"/>
        <v>-0.75431992207472276</v>
      </c>
      <c r="O17" s="111">
        <v>-13432032</v>
      </c>
      <c r="P17" s="111">
        <v>24662935</v>
      </c>
    </row>
    <row r="18" spans="2:16" s="111" customFormat="1" ht="21" customHeight="1" thickBot="1">
      <c r="B18" s="86" t="s">
        <v>307</v>
      </c>
      <c r="C18" s="67"/>
      <c r="D18" s="64"/>
      <c r="E18" s="64"/>
      <c r="F18" s="87"/>
      <c r="G18" s="65"/>
      <c r="H18" s="110"/>
      <c r="I18" s="295">
        <f t="shared" si="3"/>
        <v>0</v>
      </c>
      <c r="J18" s="295">
        <f t="shared" si="0"/>
        <v>0</v>
      </c>
      <c r="K18" s="358"/>
      <c r="L18" s="295">
        <f t="shared" si="1"/>
        <v>0</v>
      </c>
      <c r="M18" s="319"/>
    </row>
    <row r="19" spans="2:16" s="111" customFormat="1" ht="21" customHeight="1" thickBot="1">
      <c r="B19" s="91" t="s">
        <v>250</v>
      </c>
      <c r="C19" s="92"/>
      <c r="D19" s="93">
        <f>SUM(D12:D17)</f>
        <v>165724056</v>
      </c>
      <c r="E19" s="93">
        <f>SUM(E12:E17)</f>
        <v>81282240</v>
      </c>
      <c r="F19" s="94">
        <f>SUM(F12:F17)</f>
        <v>120276827</v>
      </c>
      <c r="G19" s="95">
        <f>SUM(G12:G17)</f>
        <v>44636134</v>
      </c>
      <c r="H19" s="110"/>
      <c r="I19" s="295">
        <f t="shared" si="3"/>
        <v>45447229</v>
      </c>
      <c r="J19" s="295">
        <f t="shared" si="0"/>
        <v>36646106</v>
      </c>
      <c r="K19" s="359"/>
      <c r="L19" s="295">
        <f t="shared" si="1"/>
        <v>84441816</v>
      </c>
      <c r="M19" s="322">
        <f t="shared" si="2"/>
        <v>1.8917815776787479</v>
      </c>
      <c r="O19" s="111">
        <v>37201520</v>
      </c>
      <c r="P19" s="111">
        <v>36271781</v>
      </c>
    </row>
    <row r="20" spans="2:16" s="111" customFormat="1" ht="21" customHeight="1" thickBot="1">
      <c r="B20" s="86" t="s">
        <v>251</v>
      </c>
      <c r="C20" s="67">
        <v>13</v>
      </c>
      <c r="D20" s="64">
        <f>+[4]Resultado!D18</f>
        <v>-33886203</v>
      </c>
      <c r="E20" s="64">
        <f>+[4]Resultado!E18</f>
        <v>2577179</v>
      </c>
      <c r="F20" s="64">
        <f>+[9]Resultado!D18</f>
        <v>-25131820</v>
      </c>
      <c r="G20" s="64">
        <f>+[9]Resultado!E18</f>
        <v>8782203</v>
      </c>
      <c r="H20" s="110"/>
      <c r="I20" s="295">
        <f t="shared" si="3"/>
        <v>-8754383</v>
      </c>
      <c r="J20" s="295">
        <f t="shared" si="0"/>
        <v>-6205024</v>
      </c>
      <c r="K20" s="358"/>
      <c r="L20" s="295">
        <f t="shared" si="1"/>
        <v>-36463382</v>
      </c>
      <c r="M20" s="319">
        <f t="shared" si="2"/>
        <v>-4.1519630097368507</v>
      </c>
      <c r="O20" s="111">
        <v>-3853023</v>
      </c>
      <c r="P20" s="111">
        <v>-12612776</v>
      </c>
    </row>
    <row r="21" spans="2:16" s="111" customFormat="1" ht="21" customHeight="1" thickBot="1">
      <c r="B21" s="91" t="s">
        <v>252</v>
      </c>
      <c r="C21" s="96"/>
      <c r="D21" s="93">
        <f>+D19+D20</f>
        <v>131837853</v>
      </c>
      <c r="E21" s="93">
        <f>+E19+E20</f>
        <v>83859419</v>
      </c>
      <c r="F21" s="94">
        <f>+F19+F20</f>
        <v>95145007</v>
      </c>
      <c r="G21" s="95">
        <f>+G19+G20</f>
        <v>53418337</v>
      </c>
      <c r="H21" s="110"/>
      <c r="I21" s="295">
        <f t="shared" si="3"/>
        <v>36692846</v>
      </c>
      <c r="J21" s="295">
        <f t="shared" si="0"/>
        <v>30441082</v>
      </c>
      <c r="K21" s="359"/>
      <c r="L21" s="295">
        <f t="shared" si="1"/>
        <v>47978434</v>
      </c>
      <c r="M21" s="322">
        <f t="shared" si="2"/>
        <v>0.8981641266743291</v>
      </c>
      <c r="O21" s="111">
        <v>33348497</v>
      </c>
      <c r="P21" s="111">
        <v>23659005</v>
      </c>
    </row>
    <row r="22" spans="2:16" s="111" customFormat="1" ht="23.25" customHeight="1" thickBot="1">
      <c r="B22" s="89" t="s">
        <v>308</v>
      </c>
      <c r="C22" s="97"/>
      <c r="D22" s="64">
        <f>+[11]Resultado!D20</f>
        <v>0</v>
      </c>
      <c r="E22" s="64">
        <f>+[11]Resultado!E20</f>
        <v>0</v>
      </c>
      <c r="F22" s="64">
        <f>+[12]Resultado!F20</f>
        <v>0</v>
      </c>
      <c r="G22" s="64">
        <f>+[12]Resultado!G20</f>
        <v>0</v>
      </c>
      <c r="H22" s="110"/>
      <c r="I22" s="295">
        <f t="shared" si="3"/>
        <v>0</v>
      </c>
      <c r="J22" s="295">
        <f t="shared" si="0"/>
        <v>0</v>
      </c>
      <c r="K22" s="358"/>
      <c r="L22" s="295">
        <f t="shared" si="1"/>
        <v>0</v>
      </c>
      <c r="M22" s="319">
        <f>IFERROR(L22/G22,1)</f>
        <v>1</v>
      </c>
      <c r="O22" s="111">
        <v>0</v>
      </c>
      <c r="P22" s="111">
        <v>0</v>
      </c>
    </row>
    <row r="23" spans="2:16" s="111" customFormat="1" ht="23.25" hidden="1" customHeight="1" thickBot="1">
      <c r="B23" s="89"/>
      <c r="C23" s="97"/>
      <c r="D23" s="64"/>
      <c r="E23" s="64"/>
      <c r="F23" s="87"/>
      <c r="G23" s="65"/>
      <c r="H23" s="110"/>
      <c r="I23" s="295">
        <f t="shared" si="3"/>
        <v>0</v>
      </c>
      <c r="J23" s="295">
        <f t="shared" si="0"/>
        <v>0</v>
      </c>
      <c r="K23" s="358"/>
      <c r="L23" s="295">
        <f t="shared" si="1"/>
        <v>0</v>
      </c>
      <c r="M23" s="319"/>
    </row>
    <row r="24" spans="2:16" s="111" customFormat="1" ht="21" customHeight="1" thickBot="1">
      <c r="B24" s="91" t="s">
        <v>134</v>
      </c>
      <c r="C24" s="96"/>
      <c r="D24" s="93">
        <f>+D21+D22</f>
        <v>131837853</v>
      </c>
      <c r="E24" s="93">
        <f>+E21+E22</f>
        <v>83859419</v>
      </c>
      <c r="F24" s="94">
        <f>+F21+F22</f>
        <v>95145007</v>
      </c>
      <c r="G24" s="95">
        <f>+G21+G22</f>
        <v>53418337</v>
      </c>
      <c r="H24" s="110"/>
      <c r="I24" s="295">
        <f t="shared" si="3"/>
        <v>36692846</v>
      </c>
      <c r="J24" s="295">
        <f t="shared" si="0"/>
        <v>30441082</v>
      </c>
      <c r="K24" s="359"/>
      <c r="L24" s="295">
        <f t="shared" si="1"/>
        <v>47978434</v>
      </c>
      <c r="M24" s="322">
        <f t="shared" si="2"/>
        <v>0.8981641266743291</v>
      </c>
      <c r="O24" s="111">
        <v>33348497</v>
      </c>
      <c r="P24" s="111">
        <v>23659005</v>
      </c>
    </row>
    <row r="25" spans="2:16" s="111" customFormat="1" ht="21" customHeight="1" thickBot="1">
      <c r="B25" s="99" t="s">
        <v>253</v>
      </c>
      <c r="C25" s="100" t="s">
        <v>4</v>
      </c>
      <c r="D25" s="101"/>
      <c r="E25" s="90"/>
      <c r="F25" s="102"/>
      <c r="G25" s="98"/>
      <c r="H25" s="110"/>
      <c r="I25" s="295">
        <f t="shared" si="3"/>
        <v>0</v>
      </c>
      <c r="J25" s="295">
        <f t="shared" si="0"/>
        <v>0</v>
      </c>
      <c r="K25" s="358"/>
      <c r="L25" s="295">
        <f t="shared" si="1"/>
        <v>0</v>
      </c>
      <c r="M25" s="319"/>
    </row>
    <row r="26" spans="2:16" s="111" customFormat="1" ht="21" customHeight="1" thickBot="1">
      <c r="B26" s="103" t="s">
        <v>103</v>
      </c>
      <c r="C26" s="96"/>
      <c r="D26" s="104">
        <f>+D24-D27</f>
        <v>65277259</v>
      </c>
      <c r="E26" s="104">
        <f>+E24-E27</f>
        <v>41320156</v>
      </c>
      <c r="F26" s="104">
        <f>+F24-F27</f>
        <v>47001310</v>
      </c>
      <c r="G26" s="104">
        <f>+G24-G27</f>
        <v>26257079</v>
      </c>
      <c r="H26" s="110"/>
      <c r="I26" s="295">
        <f t="shared" si="3"/>
        <v>18275949</v>
      </c>
      <c r="J26" s="295">
        <f t="shared" si="0"/>
        <v>15063077</v>
      </c>
      <c r="K26" s="359"/>
      <c r="L26" s="295">
        <f t="shared" si="1"/>
        <v>23957103</v>
      </c>
      <c r="M26" s="322">
        <f t="shared" si="2"/>
        <v>0.91240548882074812</v>
      </c>
      <c r="O26" s="111">
        <v>7837470</v>
      </c>
      <c r="P26" s="111">
        <v>3113416</v>
      </c>
    </row>
    <row r="27" spans="2:16" s="111" customFormat="1" ht="21" customHeight="1" thickBot="1">
      <c r="B27" s="89" t="s">
        <v>254</v>
      </c>
      <c r="C27" s="97">
        <v>20</v>
      </c>
      <c r="D27" s="64">
        <f>+[4]Resultado!D25</f>
        <v>66560594</v>
      </c>
      <c r="E27" s="64">
        <f>+[4]Resultado!E25</f>
        <v>42539263</v>
      </c>
      <c r="F27" s="495">
        <v>48143697</v>
      </c>
      <c r="G27" s="64">
        <f>+[9]Resultado!E25</f>
        <v>27161258</v>
      </c>
      <c r="H27" s="110"/>
      <c r="I27" s="295">
        <f t="shared" si="3"/>
        <v>18416897</v>
      </c>
      <c r="J27" s="295">
        <f t="shared" si="0"/>
        <v>15378005</v>
      </c>
      <c r="K27" s="358"/>
      <c r="L27" s="295">
        <f t="shared" si="1"/>
        <v>24021331</v>
      </c>
      <c r="M27" s="319">
        <f t="shared" si="2"/>
        <v>0.88439684936537177</v>
      </c>
      <c r="O27" s="111">
        <v>25511027</v>
      </c>
      <c r="P27" s="111">
        <v>20545589</v>
      </c>
    </row>
    <row r="28" spans="2:16" s="111" customFormat="1" ht="21" customHeight="1" thickBot="1">
      <c r="B28" s="105" t="s">
        <v>135</v>
      </c>
      <c r="C28" s="106"/>
      <c r="D28" s="104">
        <f>+D26+D27</f>
        <v>131837853</v>
      </c>
      <c r="E28" s="104">
        <f>+E26+E27</f>
        <v>83859419</v>
      </c>
      <c r="F28" s="107">
        <f>+F26+F27</f>
        <v>95145007</v>
      </c>
      <c r="G28" s="108">
        <f>+G26+G27</f>
        <v>53418337</v>
      </c>
      <c r="H28" s="110"/>
      <c r="I28" s="295">
        <f t="shared" si="3"/>
        <v>36692846</v>
      </c>
      <c r="J28" s="295">
        <f t="shared" si="0"/>
        <v>30441082</v>
      </c>
      <c r="K28" s="359"/>
      <c r="L28" s="295">
        <f t="shared" si="1"/>
        <v>47978434</v>
      </c>
      <c r="M28" s="322">
        <f t="shared" si="2"/>
        <v>0.8981641266743291</v>
      </c>
      <c r="O28" s="111">
        <v>33348497</v>
      </c>
      <c r="P28" s="111">
        <v>23659005</v>
      </c>
    </row>
    <row r="29" spans="2:16" s="111" customFormat="1" ht="21" customHeight="1">
      <c r="B29" s="109" t="s">
        <v>255</v>
      </c>
      <c r="C29" s="100"/>
      <c r="D29" s="64">
        <f>+[12]Resultado!D27</f>
        <v>0</v>
      </c>
      <c r="E29" s="64">
        <f>+[12]Resultado!E27</f>
        <v>0</v>
      </c>
      <c r="F29" s="64">
        <f>+[12]Resultado!F27</f>
        <v>0</v>
      </c>
      <c r="G29" s="64">
        <f>+[12]Resultado!G27</f>
        <v>0</v>
      </c>
      <c r="I29" s="295"/>
      <c r="J29" s="319"/>
      <c r="K29" s="358"/>
      <c r="L29" s="295"/>
      <c r="M29" s="319"/>
      <c r="O29" s="111">
        <v>7.8374699999999997</v>
      </c>
    </row>
    <row r="30" spans="2:16" s="111" customFormat="1" ht="21" customHeight="1">
      <c r="B30" s="290" t="s">
        <v>363</v>
      </c>
      <c r="C30" s="67">
        <v>27</v>
      </c>
      <c r="D30" s="291">
        <f>+[11]Resultado!D28</f>
        <v>65.277258000000003</v>
      </c>
      <c r="E30" s="291">
        <f>+[11]Resultado!E28</f>
        <v>41.33</v>
      </c>
      <c r="F30" s="64">
        <f>+D30-E30</f>
        <v>23.947258000000005</v>
      </c>
      <c r="G30" s="291"/>
      <c r="I30" s="295"/>
      <c r="J30" s="319"/>
      <c r="K30" s="358"/>
      <c r="L30" s="295"/>
      <c r="M30" s="319"/>
    </row>
    <row r="31" spans="2:16" s="111" customFormat="1" ht="21" customHeight="1" thickBot="1">
      <c r="B31" s="112" t="s">
        <v>136</v>
      </c>
      <c r="C31" s="113"/>
      <c r="D31" s="114">
        <f>+D30</f>
        <v>65.277258000000003</v>
      </c>
      <c r="E31" s="114">
        <f>+E30</f>
        <v>41.33</v>
      </c>
      <c r="F31" s="114">
        <f>+F30</f>
        <v>23.947258000000005</v>
      </c>
      <c r="G31" s="114">
        <f>+G30</f>
        <v>0</v>
      </c>
      <c r="I31" s="320"/>
      <c r="J31" s="321"/>
      <c r="K31" s="358"/>
      <c r="L31" s="320"/>
      <c r="M31" s="321"/>
      <c r="O31" s="111">
        <v>7.8374699999999997</v>
      </c>
    </row>
    <row r="32" spans="2:16" ht="9" customHeight="1">
      <c r="B32" s="120"/>
      <c r="C32" s="120"/>
      <c r="D32" s="120"/>
      <c r="E32" s="120"/>
      <c r="F32" s="137"/>
      <c r="G32" s="137"/>
    </row>
    <row r="33" spans="4:7">
      <c r="D33" s="137"/>
      <c r="E33" s="137"/>
      <c r="F33" s="137"/>
      <c r="G33" s="137"/>
    </row>
  </sheetData>
  <mergeCells count="6">
    <mergeCell ref="B3:B4"/>
    <mergeCell ref="C3:C4"/>
    <mergeCell ref="I3:J3"/>
    <mergeCell ref="L3:M3"/>
    <mergeCell ref="I2:J2"/>
    <mergeCell ref="L2:M2"/>
  </mergeCells>
  <pageMargins left="0.48" right="0.70866141732283472" top="0.74803149606299213" bottom="0.74803149606299213" header="0.31496062992125984" footer="0.31496062992125984"/>
  <pageSetup scale="8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000"/>
    <pageSetUpPr fitToPage="1"/>
  </sheetPr>
  <dimension ref="B1:K62"/>
  <sheetViews>
    <sheetView showGridLines="0" topLeftCell="A47" zoomScale="80" zoomScaleNormal="80" workbookViewId="0">
      <selection activeCell="E44" sqref="E44"/>
    </sheetView>
  </sheetViews>
  <sheetFormatPr baseColWidth="10" defaultColWidth="11.42578125" defaultRowHeight="12.75"/>
  <cols>
    <col min="1" max="1" width="7.42578125" style="119" customWidth="1"/>
    <col min="2" max="2" width="71.85546875" style="119" customWidth="1"/>
    <col min="3" max="3" width="5.5703125" style="119" customWidth="1"/>
    <col min="4" max="4" width="14" style="119" customWidth="1"/>
    <col min="5" max="5" width="13.42578125" style="119" bestFit="1" customWidth="1"/>
    <col min="6" max="6" width="4.85546875" style="119" customWidth="1"/>
    <col min="7" max="7" width="14.85546875" style="311" customWidth="1"/>
    <col min="8" max="8" width="11.42578125" style="313"/>
    <col min="9" max="16384" width="11.42578125" style="119"/>
  </cols>
  <sheetData>
    <row r="1" spans="2:11" ht="13.5" thickBot="1"/>
    <row r="2" spans="2:11" s="120" customFormat="1" ht="12" customHeight="1">
      <c r="B2" s="539" t="s">
        <v>215</v>
      </c>
      <c r="C2" s="541" t="s">
        <v>106</v>
      </c>
      <c r="D2" s="288">
        <f>+Resultado!D3</f>
        <v>45291</v>
      </c>
      <c r="E2" s="289">
        <f>+Resultado!E3</f>
        <v>44926</v>
      </c>
      <c r="G2" s="536" t="s">
        <v>233</v>
      </c>
      <c r="H2" s="537"/>
      <c r="K2" s="120" t="s">
        <v>233</v>
      </c>
    </row>
    <row r="3" spans="2:11" s="120" customFormat="1" ht="12" customHeight="1">
      <c r="B3" s="540"/>
      <c r="C3" s="542"/>
      <c r="D3" s="121" t="s">
        <v>362</v>
      </c>
      <c r="E3" s="122" t="s">
        <v>362</v>
      </c>
      <c r="G3" s="323" t="s">
        <v>362</v>
      </c>
      <c r="H3" s="324" t="s">
        <v>70</v>
      </c>
      <c r="K3" s="120" t="s">
        <v>362</v>
      </c>
    </row>
    <row r="4" spans="2:11" s="125" customFormat="1" ht="21" customHeight="1">
      <c r="B4" s="115" t="s">
        <v>138</v>
      </c>
      <c r="C4" s="116"/>
      <c r="D4" s="332">
        <f>+[4]Flujo!D5</f>
        <v>735405398</v>
      </c>
      <c r="E4" s="332">
        <f>+[4]Flujo!E5</f>
        <v>651478729</v>
      </c>
      <c r="F4" s="124"/>
      <c r="G4" s="295">
        <f>ROUND(+(D4-E4),0)</f>
        <v>83926669</v>
      </c>
      <c r="H4" s="325">
        <f>+IFERROR(G4/E4,1)</f>
        <v>0.12882487986802713</v>
      </c>
      <c r="I4" s="120" t="s">
        <v>358</v>
      </c>
      <c r="K4" s="125">
        <v>64339634</v>
      </c>
    </row>
    <row r="5" spans="2:11" s="125" customFormat="1" ht="25.5">
      <c r="B5" s="115" t="s">
        <v>140</v>
      </c>
      <c r="C5" s="116"/>
      <c r="D5" s="332">
        <f>+[4]Flujo!D6</f>
        <v>0</v>
      </c>
      <c r="E5" s="332">
        <f>+[4]Flujo!E6</f>
        <v>0</v>
      </c>
      <c r="F5" s="124"/>
      <c r="G5" s="295">
        <f t="shared" ref="G5:G45" si="0">ROUND(+(D5-E5),0)</f>
        <v>0</v>
      </c>
      <c r="H5" s="325"/>
      <c r="I5" s="120"/>
      <c r="K5" s="125">
        <v>0</v>
      </c>
    </row>
    <row r="6" spans="2:11" s="125" customFormat="1" ht="25.5">
      <c r="B6" s="115" t="s">
        <v>139</v>
      </c>
      <c r="C6" s="116"/>
      <c r="D6" s="332">
        <f>+[4]Flujo!D7</f>
        <v>0</v>
      </c>
      <c r="E6" s="332">
        <f>+[4]Flujo!E7</f>
        <v>0</v>
      </c>
      <c r="F6" s="124"/>
      <c r="G6" s="295">
        <f t="shared" si="0"/>
        <v>0</v>
      </c>
      <c r="H6" s="325"/>
      <c r="I6" s="120"/>
      <c r="K6" s="125">
        <v>0</v>
      </c>
    </row>
    <row r="7" spans="2:11" s="125" customFormat="1" ht="21" customHeight="1">
      <c r="B7" s="115" t="s">
        <v>141</v>
      </c>
      <c r="C7" s="116"/>
      <c r="D7" s="332">
        <f>+[4]Flujo!D8</f>
        <v>0</v>
      </c>
      <c r="E7" s="332">
        <f>+[4]Flujo!E8</f>
        <v>0</v>
      </c>
      <c r="F7" s="124"/>
      <c r="G7" s="295">
        <f t="shared" si="0"/>
        <v>0</v>
      </c>
      <c r="H7" s="325">
        <f t="shared" ref="H7:H47" si="1">+IFERROR(G7/E7,1)</f>
        <v>1</v>
      </c>
      <c r="I7" s="120"/>
      <c r="K7" s="125">
        <v>0</v>
      </c>
    </row>
    <row r="8" spans="2:11" s="125" customFormat="1" ht="21" customHeight="1">
      <c r="B8" s="115" t="s">
        <v>142</v>
      </c>
      <c r="C8" s="116"/>
      <c r="D8" s="332">
        <f>+[4]Flujo!D9</f>
        <v>4077222</v>
      </c>
      <c r="E8" s="332">
        <f>+[4]Flujo!E9</f>
        <v>5590272</v>
      </c>
      <c r="F8" s="124"/>
      <c r="G8" s="295">
        <f t="shared" si="0"/>
        <v>-1513050</v>
      </c>
      <c r="H8" s="325">
        <f t="shared" si="1"/>
        <v>-0.27065767103997801</v>
      </c>
      <c r="I8" s="120"/>
      <c r="K8" s="125">
        <v>-1083138</v>
      </c>
    </row>
    <row r="9" spans="2:11" s="125" customFormat="1" ht="21" customHeight="1">
      <c r="B9" s="117" t="s">
        <v>137</v>
      </c>
      <c r="C9" s="116"/>
      <c r="D9" s="333">
        <f>+[11]Flujo!D10</f>
        <v>739482620</v>
      </c>
      <c r="E9" s="333">
        <f>+[11]Flujo!E10</f>
        <v>657069001</v>
      </c>
      <c r="F9" s="124"/>
      <c r="G9" s="296">
        <f t="shared" si="0"/>
        <v>82413619</v>
      </c>
      <c r="H9" s="327">
        <f t="shared" si="1"/>
        <v>0.12542612552802501</v>
      </c>
      <c r="I9" s="120"/>
      <c r="K9" s="125">
        <v>63256496</v>
      </c>
    </row>
    <row r="10" spans="2:11" s="125" customFormat="1" ht="21" customHeight="1">
      <c r="B10" s="115" t="s">
        <v>143</v>
      </c>
      <c r="C10" s="116"/>
      <c r="D10" s="332">
        <f>+[4]Flujo!D11</f>
        <v>-273936432</v>
      </c>
      <c r="E10" s="332">
        <f>+[4]Flujo!E11</f>
        <v>-237818122</v>
      </c>
      <c r="F10" s="124"/>
      <c r="G10" s="295">
        <f t="shared" si="0"/>
        <v>-36118310</v>
      </c>
      <c r="H10" s="325">
        <f t="shared" si="1"/>
        <v>0.15187366587648019</v>
      </c>
      <c r="I10" s="120" t="s">
        <v>357</v>
      </c>
      <c r="K10" s="125">
        <v>-19440119</v>
      </c>
    </row>
    <row r="11" spans="2:11" s="125" customFormat="1" ht="21" customHeight="1">
      <c r="B11" s="115" t="s">
        <v>144</v>
      </c>
      <c r="C11" s="116"/>
      <c r="D11" s="332">
        <f>+[4]Flujo!D12</f>
        <v>0</v>
      </c>
      <c r="E11" s="332">
        <f>+[4]Flujo!E12</f>
        <v>0</v>
      </c>
      <c r="F11" s="124"/>
      <c r="G11" s="295">
        <f t="shared" si="0"/>
        <v>0</v>
      </c>
      <c r="H11" s="325">
        <f t="shared" si="1"/>
        <v>1</v>
      </c>
      <c r="I11" s="120"/>
      <c r="K11" s="125">
        <v>0</v>
      </c>
    </row>
    <row r="12" spans="2:11" s="125" customFormat="1" ht="21" customHeight="1">
      <c r="B12" s="115" t="s">
        <v>145</v>
      </c>
      <c r="C12" s="118"/>
      <c r="D12" s="332">
        <f>+[4]Flujo!D13</f>
        <v>-80397420</v>
      </c>
      <c r="E12" s="332">
        <f>+[4]Flujo!E13</f>
        <v>-66702229</v>
      </c>
      <c r="F12" s="124"/>
      <c r="G12" s="295">
        <f t="shared" si="0"/>
        <v>-13695191</v>
      </c>
      <c r="H12" s="325">
        <f t="shared" si="1"/>
        <v>0.20531834101076293</v>
      </c>
      <c r="I12" s="120"/>
      <c r="K12" s="125">
        <v>-6069946</v>
      </c>
    </row>
    <row r="13" spans="2:11" s="125" customFormat="1" ht="21" customHeight="1">
      <c r="B13" s="115" t="s">
        <v>146</v>
      </c>
      <c r="C13" s="116"/>
      <c r="D13" s="332">
        <f>+[4]Flujo!D14</f>
        <v>-8671982</v>
      </c>
      <c r="E13" s="332">
        <f>+[4]Flujo!E14</f>
        <v>-6002433</v>
      </c>
      <c r="F13" s="124"/>
      <c r="G13" s="295">
        <f>ROUND(+(D13-E13),0)</f>
        <v>-2669549</v>
      </c>
      <c r="H13" s="325">
        <f t="shared" si="1"/>
        <v>0.44474448944286427</v>
      </c>
      <c r="I13" s="120"/>
      <c r="K13" s="125">
        <v>-1270627</v>
      </c>
    </row>
    <row r="14" spans="2:11" s="125" customFormat="1" ht="21" customHeight="1">
      <c r="B14" s="115" t="s">
        <v>147</v>
      </c>
      <c r="C14" s="116"/>
      <c r="D14" s="332">
        <f>+[4]Flujo!D15</f>
        <v>-50568111</v>
      </c>
      <c r="E14" s="332">
        <f>+[4]Flujo!E15</f>
        <v>-47875512</v>
      </c>
      <c r="F14" s="124"/>
      <c r="G14" s="295">
        <f t="shared" si="0"/>
        <v>-2692599</v>
      </c>
      <c r="H14" s="325">
        <f t="shared" si="1"/>
        <v>5.6241675284851259E-2</v>
      </c>
      <c r="I14" s="120" t="s">
        <v>356</v>
      </c>
      <c r="K14" s="125">
        <v>-4683195</v>
      </c>
    </row>
    <row r="15" spans="2:11" s="125" customFormat="1" ht="21" customHeight="1">
      <c r="B15" s="117" t="s">
        <v>216</v>
      </c>
      <c r="C15" s="116"/>
      <c r="D15" s="333">
        <f>SUM(D10:D14)</f>
        <v>-413573945</v>
      </c>
      <c r="E15" s="333">
        <f>SUM(E10:E14)</f>
        <v>-358398296</v>
      </c>
      <c r="F15" s="124"/>
      <c r="G15" s="295">
        <f t="shared" si="0"/>
        <v>-55175649</v>
      </c>
      <c r="H15" s="327">
        <f t="shared" si="1"/>
        <v>0.15395064545730988</v>
      </c>
      <c r="I15" s="120"/>
      <c r="K15" s="125">
        <v>-31463887</v>
      </c>
    </row>
    <row r="16" spans="2:11" s="125" customFormat="1" ht="21" customHeight="1">
      <c r="B16" s="115" t="s">
        <v>148</v>
      </c>
      <c r="C16" s="116"/>
      <c r="D16" s="332">
        <f>+[4]Flujo!D17</f>
        <v>0</v>
      </c>
      <c r="E16" s="332">
        <f>+[4]Flujo!E17</f>
        <v>0</v>
      </c>
      <c r="F16" s="124"/>
      <c r="G16" s="295"/>
      <c r="H16" s="325">
        <f t="shared" si="1"/>
        <v>1</v>
      </c>
      <c r="I16" s="120"/>
    </row>
    <row r="17" spans="2:11" s="125" customFormat="1" ht="21" customHeight="1">
      <c r="B17" s="115" t="s">
        <v>149</v>
      </c>
      <c r="C17" s="116"/>
      <c r="D17" s="332">
        <f>+[4]Flujo!D18</f>
        <v>0</v>
      </c>
      <c r="E17" s="332">
        <f>+[4]Flujo!E18</f>
        <v>0</v>
      </c>
      <c r="F17" s="124"/>
      <c r="G17" s="295"/>
      <c r="H17" s="325">
        <f t="shared" si="1"/>
        <v>1</v>
      </c>
      <c r="I17" s="120"/>
    </row>
    <row r="18" spans="2:11" s="125" customFormat="1" ht="21" customHeight="1">
      <c r="B18" s="115" t="s">
        <v>150</v>
      </c>
      <c r="C18" s="116"/>
      <c r="D18" s="332">
        <f>+[4]Flujo!D19</f>
        <v>-48001819</v>
      </c>
      <c r="E18" s="332">
        <f>+[4]Flujo!E19</f>
        <v>-36617942</v>
      </c>
      <c r="F18" s="124"/>
      <c r="G18" s="295">
        <f t="shared" si="0"/>
        <v>-11383877</v>
      </c>
      <c r="H18" s="325">
        <f t="shared" si="1"/>
        <v>0.31088249033766013</v>
      </c>
      <c r="I18" s="120" t="s">
        <v>354</v>
      </c>
      <c r="K18" s="125">
        <v>-7546500</v>
      </c>
    </row>
    <row r="19" spans="2:11" s="125" customFormat="1" ht="21" customHeight="1">
      <c r="B19" s="115" t="s">
        <v>151</v>
      </c>
      <c r="C19" s="116"/>
      <c r="D19" s="332">
        <f>+[4]Flujo!D20</f>
        <v>16092060</v>
      </c>
      <c r="E19" s="332">
        <f>+[4]Flujo!E20</f>
        <v>12776309</v>
      </c>
      <c r="F19" s="124"/>
      <c r="G19" s="295">
        <f t="shared" si="0"/>
        <v>3315751</v>
      </c>
      <c r="H19" s="325">
        <f t="shared" si="1"/>
        <v>0.2595233881710281</v>
      </c>
      <c r="I19" s="120" t="s">
        <v>355</v>
      </c>
      <c r="K19" s="125">
        <v>5414211</v>
      </c>
    </row>
    <row r="20" spans="2:11" s="125" customFormat="1" ht="21" customHeight="1">
      <c r="B20" s="115" t="s">
        <v>226</v>
      </c>
      <c r="C20" s="116"/>
      <c r="D20" s="332">
        <f>+[4]Flujo!D21</f>
        <v>-53505003</v>
      </c>
      <c r="E20" s="332">
        <f>+[4]Flujo!E21</f>
        <v>-30117090</v>
      </c>
      <c r="F20" s="124"/>
      <c r="G20" s="295">
        <f t="shared" si="0"/>
        <v>-23387913</v>
      </c>
      <c r="H20" s="325">
        <f t="shared" si="1"/>
        <v>0.77656616226866537</v>
      </c>
      <c r="I20" s="120" t="s">
        <v>353</v>
      </c>
      <c r="K20" s="125">
        <v>-18083845</v>
      </c>
    </row>
    <row r="21" spans="2:11" s="125" customFormat="1" ht="21" customHeight="1">
      <c r="B21" s="115" t="s">
        <v>157</v>
      </c>
      <c r="C21" s="116"/>
      <c r="D21" s="332">
        <f>+[4]Flujo!D22</f>
        <v>-12571148</v>
      </c>
      <c r="E21" s="332">
        <f>+[4]Flujo!E22</f>
        <v>-3654564</v>
      </c>
      <c r="F21" s="124"/>
      <c r="G21" s="295">
        <f t="shared" si="0"/>
        <v>-8916584</v>
      </c>
      <c r="H21" s="325">
        <f t="shared" si="1"/>
        <v>2.4398489122095004</v>
      </c>
      <c r="I21" s="120" t="s">
        <v>364</v>
      </c>
      <c r="K21" s="125">
        <v>-9891191</v>
      </c>
    </row>
    <row r="22" spans="2:11" s="125" customFormat="1" ht="21" customHeight="1">
      <c r="B22" s="117" t="s">
        <v>310</v>
      </c>
      <c r="C22" s="116"/>
      <c r="D22" s="334">
        <f>SUM(D16:D21)</f>
        <v>-97985910</v>
      </c>
      <c r="E22" s="334">
        <f>SUM(E16:E21)</f>
        <v>-57613287</v>
      </c>
      <c r="F22" s="124"/>
      <c r="G22" s="296">
        <f t="shared" si="0"/>
        <v>-40372623</v>
      </c>
      <c r="H22" s="327">
        <f t="shared" si="1"/>
        <v>0.70075194633487936</v>
      </c>
      <c r="I22" s="120"/>
      <c r="K22" s="125">
        <v>-30107325</v>
      </c>
    </row>
    <row r="23" spans="2:11" s="125" customFormat="1" ht="21" customHeight="1" thickBot="1">
      <c r="B23" s="115" t="s">
        <v>309</v>
      </c>
      <c r="C23" s="116"/>
      <c r="D23" s="332"/>
      <c r="E23" s="332"/>
      <c r="F23" s="124"/>
      <c r="G23" s="295">
        <f>ROUND(+(D23-E23),0)</f>
        <v>0</v>
      </c>
      <c r="H23" s="325">
        <f>+IFERROR(G23/E23,1)</f>
        <v>1</v>
      </c>
      <c r="I23" s="120"/>
      <c r="K23" s="125">
        <v>0</v>
      </c>
    </row>
    <row r="24" spans="2:11" s="125" customFormat="1" ht="21" customHeight="1" thickBot="1">
      <c r="B24" s="127" t="s">
        <v>311</v>
      </c>
      <c r="C24" s="128"/>
      <c r="D24" s="335">
        <f>+D9+D15+D22+D23</f>
        <v>227922765</v>
      </c>
      <c r="E24" s="335">
        <f>+E9+E15+E22+E23</f>
        <v>241057418</v>
      </c>
      <c r="F24" s="124"/>
      <c r="G24" s="317">
        <f>ROUND(+(D24-E24),0)</f>
        <v>-13134653</v>
      </c>
      <c r="H24" s="328">
        <f t="shared" si="1"/>
        <v>-5.4487653227912693E-2</v>
      </c>
      <c r="I24" s="120"/>
      <c r="K24" s="125">
        <v>1685284</v>
      </c>
    </row>
    <row r="25" spans="2:11" s="125" customFormat="1" ht="21" customHeight="1">
      <c r="B25" s="126" t="s">
        <v>152</v>
      </c>
      <c r="C25" s="123"/>
      <c r="D25" s="332"/>
      <c r="E25" s="332">
        <f>+[11]Flujo!E26</f>
        <v>0</v>
      </c>
      <c r="F25" s="124"/>
      <c r="G25" s="295">
        <f t="shared" si="0"/>
        <v>0</v>
      </c>
      <c r="H25" s="325">
        <f t="shared" si="1"/>
        <v>1</v>
      </c>
      <c r="I25" s="120"/>
      <c r="K25" s="125">
        <v>0</v>
      </c>
    </row>
    <row r="26" spans="2:11" s="125" customFormat="1" ht="21" customHeight="1">
      <c r="B26" s="126" t="s">
        <v>292</v>
      </c>
      <c r="C26" s="123"/>
      <c r="D26" s="332">
        <f>+[4]Flujo!D33</f>
        <v>5001192</v>
      </c>
      <c r="E26" s="332">
        <f>+[4]Flujo!E33</f>
        <v>646541</v>
      </c>
      <c r="F26" s="124"/>
      <c r="G26" s="295">
        <f t="shared" si="0"/>
        <v>4354651</v>
      </c>
      <c r="H26" s="325">
        <f t="shared" si="1"/>
        <v>6.7353052629299608</v>
      </c>
      <c r="I26" s="120" t="s">
        <v>349</v>
      </c>
      <c r="K26" s="125">
        <v>4745573</v>
      </c>
    </row>
    <row r="27" spans="2:11" s="125" customFormat="1" ht="21" customHeight="1">
      <c r="B27" s="126" t="s">
        <v>153</v>
      </c>
      <c r="C27" s="123"/>
      <c r="D27" s="332">
        <f>+[4]Flujo!D34</f>
        <v>-149645668</v>
      </c>
      <c r="E27" s="332">
        <f>+[4]Flujo!E34</f>
        <v>-161366864</v>
      </c>
      <c r="F27" s="124"/>
      <c r="G27" s="295">
        <f t="shared" si="0"/>
        <v>11721196</v>
      </c>
      <c r="H27" s="325">
        <f t="shared" si="1"/>
        <v>-7.2636944843893103E-2</v>
      </c>
      <c r="I27" s="120" t="s">
        <v>350</v>
      </c>
      <c r="K27" s="125">
        <v>3407345</v>
      </c>
    </row>
    <row r="28" spans="2:11" s="125" customFormat="1" ht="21" customHeight="1">
      <c r="B28" s="126" t="s">
        <v>227</v>
      </c>
      <c r="C28" s="123"/>
      <c r="D28" s="332">
        <f>+[4]Flujo!D35</f>
        <v>0</v>
      </c>
      <c r="E28" s="332">
        <f>+[4]Flujo!E35</f>
        <v>0</v>
      </c>
      <c r="F28" s="124"/>
      <c r="G28" s="295">
        <f t="shared" si="0"/>
        <v>0</v>
      </c>
      <c r="H28" s="325">
        <f t="shared" si="1"/>
        <v>1</v>
      </c>
      <c r="I28" s="120"/>
      <c r="K28" s="125">
        <v>0</v>
      </c>
    </row>
    <row r="29" spans="2:11" s="125" customFormat="1" ht="21" customHeight="1">
      <c r="B29" s="126" t="s">
        <v>154</v>
      </c>
      <c r="C29" s="123"/>
      <c r="D29" s="332">
        <f>+[4]Flujo!D36</f>
        <v>-4494138</v>
      </c>
      <c r="E29" s="332">
        <f>+[4]Flujo!E36</f>
        <v>-5180385</v>
      </c>
      <c r="F29" s="124"/>
      <c r="G29" s="295">
        <f t="shared" si="0"/>
        <v>686247</v>
      </c>
      <c r="H29" s="325">
        <f t="shared" si="1"/>
        <v>-0.13247027006680007</v>
      </c>
      <c r="I29" s="120" t="s">
        <v>351</v>
      </c>
      <c r="K29" s="125">
        <v>4841522</v>
      </c>
    </row>
    <row r="30" spans="2:11" s="125" customFormat="1" ht="21" customHeight="1" thickBot="1">
      <c r="B30" s="126" t="s">
        <v>157</v>
      </c>
      <c r="C30" s="123"/>
      <c r="D30" s="332">
        <f>+[4]Flujo!$D$48</f>
        <v>-863678</v>
      </c>
      <c r="E30" s="332">
        <f>+[4]Flujo!E37</f>
        <v>0</v>
      </c>
      <c r="F30" s="332">
        <f>+[12]Flujo!F37</f>
        <v>0</v>
      </c>
      <c r="G30" s="295">
        <f t="shared" si="0"/>
        <v>-863678</v>
      </c>
      <c r="H30" s="325">
        <f t="shared" si="1"/>
        <v>1</v>
      </c>
      <c r="I30" s="120"/>
      <c r="K30" s="125">
        <v>-13977</v>
      </c>
    </row>
    <row r="31" spans="2:11" s="125" customFormat="1" ht="21" customHeight="1" thickBot="1">
      <c r="B31" s="127" t="s">
        <v>217</v>
      </c>
      <c r="C31" s="128"/>
      <c r="D31" s="335">
        <f>SUM(D25:D30)</f>
        <v>-150002292</v>
      </c>
      <c r="E31" s="335">
        <f>SUM(E25:E30)</f>
        <v>-165900708</v>
      </c>
      <c r="F31" s="332">
        <f>+[12]Flujo!F38</f>
        <v>0</v>
      </c>
      <c r="G31" s="317">
        <f t="shared" si="0"/>
        <v>15898416</v>
      </c>
      <c r="H31" s="328">
        <f t="shared" si="1"/>
        <v>-9.5830911101355873E-2</v>
      </c>
      <c r="I31" s="405"/>
      <c r="K31" s="125">
        <v>38156234</v>
      </c>
    </row>
    <row r="32" spans="2:11" s="125" customFormat="1" ht="21" customHeight="1">
      <c r="B32" s="126" t="s">
        <v>158</v>
      </c>
      <c r="C32" s="123"/>
      <c r="D32" s="332">
        <f>[13]Flujo!D50</f>
        <v>0</v>
      </c>
      <c r="E32" s="332">
        <f>[13]Flujo!E50</f>
        <v>0</v>
      </c>
      <c r="F32" s="332">
        <f>+[12]Flujo!F39</f>
        <v>0</v>
      </c>
      <c r="G32" s="295">
        <f t="shared" si="0"/>
        <v>0</v>
      </c>
      <c r="H32" s="325">
        <f t="shared" si="1"/>
        <v>1</v>
      </c>
      <c r="I32" s="120"/>
      <c r="K32" s="125">
        <v>0</v>
      </c>
    </row>
    <row r="33" spans="2:11" s="125" customFormat="1" ht="21" customHeight="1">
      <c r="B33" s="126" t="s">
        <v>159</v>
      </c>
      <c r="C33" s="123"/>
      <c r="D33" s="332">
        <f>[13]Flujo!D51</f>
        <v>0</v>
      </c>
      <c r="E33" s="332">
        <f>[13]Flujo!E51</f>
        <v>0</v>
      </c>
      <c r="F33" s="332">
        <f>+[12]Flujo!F40</f>
        <v>0</v>
      </c>
      <c r="G33" s="295">
        <f t="shared" si="0"/>
        <v>0</v>
      </c>
      <c r="H33" s="325">
        <f t="shared" si="1"/>
        <v>1</v>
      </c>
      <c r="I33" s="120"/>
      <c r="K33" s="125">
        <v>0</v>
      </c>
    </row>
    <row r="34" spans="2:11" s="125" customFormat="1" ht="21" customHeight="1">
      <c r="B34" s="126" t="s">
        <v>160</v>
      </c>
      <c r="C34" s="123"/>
      <c r="D34" s="332">
        <f>[13]Flujo!D52</f>
        <v>0</v>
      </c>
      <c r="E34" s="332">
        <f>[13]Flujo!E52</f>
        <v>0</v>
      </c>
      <c r="F34" s="332">
        <f>+[12]Flujo!F41</f>
        <v>0</v>
      </c>
      <c r="G34" s="295">
        <f t="shared" si="0"/>
        <v>0</v>
      </c>
      <c r="H34" s="325">
        <f t="shared" si="1"/>
        <v>1</v>
      </c>
      <c r="I34" s="120"/>
      <c r="K34" s="125">
        <v>0</v>
      </c>
    </row>
    <row r="35" spans="2:11" s="125" customFormat="1" ht="21" customHeight="1">
      <c r="B35" s="126" t="s">
        <v>161</v>
      </c>
      <c r="C35" s="123"/>
      <c r="D35" s="332">
        <f>[13]Flujo!D53</f>
        <v>0</v>
      </c>
      <c r="E35" s="332">
        <f>[13]Flujo!E53</f>
        <v>0</v>
      </c>
      <c r="F35" s="332">
        <f>+[12]Flujo!F53</f>
        <v>0</v>
      </c>
      <c r="G35" s="295">
        <f t="shared" si="0"/>
        <v>0</v>
      </c>
      <c r="H35" s="325">
        <f t="shared" si="1"/>
        <v>1</v>
      </c>
      <c r="I35" s="120"/>
      <c r="K35" s="125">
        <v>0</v>
      </c>
    </row>
    <row r="36" spans="2:11" s="125" customFormat="1" ht="21" customHeight="1">
      <c r="B36" s="126" t="s">
        <v>162</v>
      </c>
      <c r="C36" s="123"/>
      <c r="D36" s="332">
        <f>+[4]Flujo!D54</f>
        <v>11415588</v>
      </c>
      <c r="E36" s="332">
        <f>+[4]Flujo!E54</f>
        <v>58736661</v>
      </c>
      <c r="F36" s="124"/>
      <c r="G36" s="295">
        <f t="shared" si="0"/>
        <v>-47321073</v>
      </c>
      <c r="H36" s="325">
        <f t="shared" si="1"/>
        <v>-0.80564799214582528</v>
      </c>
      <c r="I36" s="120" t="s">
        <v>365</v>
      </c>
      <c r="K36" s="125">
        <v>-2600633</v>
      </c>
    </row>
    <row r="37" spans="2:11" s="125" customFormat="1" ht="21" customHeight="1">
      <c r="B37" s="126" t="s">
        <v>163</v>
      </c>
      <c r="C37" s="123"/>
      <c r="D37" s="332">
        <f>[13]Flujo!D55</f>
        <v>0</v>
      </c>
      <c r="E37" s="332">
        <f>+[4]Flujo!E55</f>
        <v>30000000</v>
      </c>
      <c r="F37" s="124"/>
      <c r="G37" s="295">
        <f t="shared" si="0"/>
        <v>-30000000</v>
      </c>
      <c r="H37" s="325">
        <f t="shared" si="1"/>
        <v>-1</v>
      </c>
      <c r="I37" s="120"/>
      <c r="K37" s="125">
        <v>0</v>
      </c>
    </row>
    <row r="38" spans="2:11" s="125" customFormat="1" ht="21" customHeight="1">
      <c r="B38" s="287" t="s">
        <v>312</v>
      </c>
      <c r="C38" s="123"/>
      <c r="D38" s="333">
        <f>+D36+D37</f>
        <v>11415588</v>
      </c>
      <c r="E38" s="334">
        <f>+E36+E37</f>
        <v>88736661</v>
      </c>
      <c r="F38" s="124"/>
      <c r="G38" s="296">
        <f t="shared" si="0"/>
        <v>-77321073</v>
      </c>
      <c r="H38" s="329">
        <f t="shared" si="1"/>
        <v>-0.87135432107367661</v>
      </c>
      <c r="I38" s="120"/>
      <c r="K38" s="125">
        <v>-2600633</v>
      </c>
    </row>
    <row r="39" spans="2:11" s="125" customFormat="1" ht="21" customHeight="1">
      <c r="B39" s="126" t="s">
        <v>164</v>
      </c>
      <c r="C39" s="123"/>
      <c r="D39" s="332">
        <f>[13]Flujo!D57</f>
        <v>0</v>
      </c>
      <c r="E39" s="332">
        <f>[13]Flujo!E57</f>
        <v>0</v>
      </c>
      <c r="F39" s="124"/>
      <c r="G39" s="295">
        <f t="shared" si="0"/>
        <v>0</v>
      </c>
      <c r="H39" s="325">
        <f t="shared" si="1"/>
        <v>1</v>
      </c>
      <c r="I39" s="120"/>
      <c r="K39" s="125">
        <v>0</v>
      </c>
    </row>
    <row r="40" spans="2:11" s="125" customFormat="1" ht="21" customHeight="1">
      <c r="B40" s="126" t="s">
        <v>218</v>
      </c>
      <c r="C40" s="123"/>
      <c r="D40" s="332">
        <f>+[4]Flujo!D58</f>
        <v>-70379714</v>
      </c>
      <c r="E40" s="332">
        <f>+[4]Flujo!E58</f>
        <v>-73747049</v>
      </c>
      <c r="F40" s="124"/>
      <c r="G40" s="295">
        <f t="shared" si="0"/>
        <v>3367335</v>
      </c>
      <c r="H40" s="326">
        <f t="shared" si="1"/>
        <v>-4.5660606704411993E-2</v>
      </c>
      <c r="I40" s="120"/>
      <c r="K40" s="125">
        <v>-523715</v>
      </c>
    </row>
    <row r="41" spans="2:11" s="125" customFormat="1" ht="21" customHeight="1">
      <c r="B41" s="126" t="s">
        <v>165</v>
      </c>
      <c r="C41" s="123"/>
      <c r="D41" s="332">
        <f>[13]Flujo!D59</f>
        <v>0</v>
      </c>
      <c r="E41" s="332">
        <f>[13]Flujo!E59</f>
        <v>0</v>
      </c>
      <c r="F41" s="124"/>
      <c r="G41" s="295">
        <f t="shared" si="0"/>
        <v>0</v>
      </c>
      <c r="H41" s="326">
        <f t="shared" si="1"/>
        <v>1</v>
      </c>
      <c r="I41" s="120"/>
      <c r="K41" s="125">
        <v>0</v>
      </c>
    </row>
    <row r="42" spans="2:11" s="125" customFormat="1" ht="21" customHeight="1">
      <c r="B42" s="126" t="s">
        <v>166</v>
      </c>
      <c r="C42" s="123"/>
      <c r="D42" s="332">
        <f>[13]Flujo!D60</f>
        <v>0</v>
      </c>
      <c r="E42" s="332">
        <f>[13]Flujo!E60</f>
        <v>0</v>
      </c>
      <c r="F42" s="124"/>
      <c r="G42" s="295">
        <f t="shared" si="0"/>
        <v>0</v>
      </c>
      <c r="H42" s="326">
        <f t="shared" si="1"/>
        <v>1</v>
      </c>
      <c r="I42" s="120"/>
      <c r="K42" s="125">
        <v>0</v>
      </c>
    </row>
    <row r="43" spans="2:11" s="125" customFormat="1" ht="21" customHeight="1">
      <c r="B43" s="126" t="s">
        <v>155</v>
      </c>
      <c r="C43" s="123"/>
      <c r="D43" s="332">
        <f>[13]Flujo!D61</f>
        <v>0</v>
      </c>
      <c r="E43" s="332">
        <f>[13]Flujo!E61</f>
        <v>0</v>
      </c>
      <c r="F43" s="124"/>
      <c r="G43" s="295">
        <f t="shared" si="0"/>
        <v>0</v>
      </c>
      <c r="H43" s="326">
        <f t="shared" si="1"/>
        <v>1</v>
      </c>
      <c r="I43" s="120"/>
      <c r="K43" s="125">
        <v>0</v>
      </c>
    </row>
    <row r="44" spans="2:11" s="125" customFormat="1" ht="21" customHeight="1">
      <c r="B44" s="292" t="s">
        <v>148</v>
      </c>
      <c r="C44" s="123"/>
      <c r="D44" s="332">
        <f>+[4]Flujo!D62</f>
        <v>-88706805</v>
      </c>
      <c r="E44" s="332">
        <f>+[4]Flujo!E62</f>
        <v>-74159334</v>
      </c>
      <c r="F44" s="124"/>
      <c r="G44" s="295">
        <f t="shared" si="0"/>
        <v>-14547471</v>
      </c>
      <c r="H44" s="326">
        <f t="shared" si="1"/>
        <v>0.1961650707380948</v>
      </c>
      <c r="I44" s="120" t="s">
        <v>352</v>
      </c>
      <c r="K44" s="125">
        <v>-33963140</v>
      </c>
    </row>
    <row r="45" spans="2:11" s="125" customFormat="1" ht="21" customHeight="1">
      <c r="B45" s="126" t="s">
        <v>150</v>
      </c>
      <c r="C45" s="123"/>
      <c r="D45" s="332">
        <f>+[12]Flujo!D63</f>
        <v>0</v>
      </c>
      <c r="E45" s="332">
        <f>+[12]Flujo!E63</f>
        <v>0</v>
      </c>
      <c r="F45" s="124"/>
      <c r="G45" s="295">
        <f t="shared" si="0"/>
        <v>0</v>
      </c>
      <c r="H45" s="325">
        <f t="shared" si="1"/>
        <v>1</v>
      </c>
      <c r="I45" s="120"/>
      <c r="K45" s="125">
        <v>2485</v>
      </c>
    </row>
    <row r="46" spans="2:11" s="125" customFormat="1" ht="21" customHeight="1">
      <c r="B46" s="126" t="s">
        <v>156</v>
      </c>
      <c r="C46" s="123"/>
      <c r="D46" s="332">
        <f>[13]Flujo!D64</f>
        <v>0</v>
      </c>
      <c r="E46" s="332">
        <f>[13]Flujo!E64</f>
        <v>0</v>
      </c>
      <c r="F46" s="124"/>
      <c r="G46" s="295">
        <f t="shared" ref="G46:G54" si="2">ROUND(+(D46-E46),0)</f>
        <v>0</v>
      </c>
      <c r="H46" s="325">
        <f t="shared" si="1"/>
        <v>1</v>
      </c>
      <c r="I46" s="120"/>
      <c r="K46" s="125">
        <v>0</v>
      </c>
    </row>
    <row r="47" spans="2:11" s="125" customFormat="1" ht="21" customHeight="1">
      <c r="B47" s="126" t="s">
        <v>157</v>
      </c>
      <c r="C47" s="123"/>
      <c r="D47" s="332">
        <f>[13]Flujo!D65</f>
        <v>0</v>
      </c>
      <c r="E47" s="332">
        <f>[13]Flujo!E65</f>
        <v>0</v>
      </c>
      <c r="F47" s="124"/>
      <c r="G47" s="295">
        <f t="shared" si="2"/>
        <v>0</v>
      </c>
      <c r="H47" s="325">
        <f t="shared" si="1"/>
        <v>1</v>
      </c>
      <c r="I47" s="120"/>
      <c r="K47" s="125">
        <v>0</v>
      </c>
    </row>
    <row r="48" spans="2:11" s="125" customFormat="1" ht="21" customHeight="1" thickBot="1">
      <c r="B48" s="126" t="s">
        <v>315</v>
      </c>
      <c r="C48" s="123"/>
      <c r="D48" s="332"/>
      <c r="E48" s="332"/>
      <c r="F48" s="124"/>
      <c r="G48" s="295">
        <f>ROUND(+(D48-E48),0)</f>
        <v>0</v>
      </c>
      <c r="H48" s="325">
        <f>+IFERROR(G48/E48,1)</f>
        <v>1</v>
      </c>
      <c r="I48" s="120"/>
      <c r="K48" s="125">
        <v>0</v>
      </c>
    </row>
    <row r="49" spans="2:11" s="125" customFormat="1" ht="21" customHeight="1" thickBot="1">
      <c r="B49" s="127" t="s">
        <v>313</v>
      </c>
      <c r="C49" s="129"/>
      <c r="D49" s="335">
        <f>+D38+D40+D44+D47+D48+D41</f>
        <v>-147670931</v>
      </c>
      <c r="E49" s="335">
        <f>+E38+E40+E44+E47+E48+E41</f>
        <v>-59169722</v>
      </c>
      <c r="F49" s="124"/>
      <c r="G49" s="317">
        <f t="shared" si="2"/>
        <v>-88501209</v>
      </c>
      <c r="H49" s="328">
        <f t="shared" ref="H49:H55" si="3">+IFERROR(G49/E49,1)</f>
        <v>1.495717843663352</v>
      </c>
      <c r="I49" s="120"/>
      <c r="K49" s="125">
        <v>-37085003</v>
      </c>
    </row>
    <row r="50" spans="2:11" s="125" customFormat="1" ht="21" customHeight="1">
      <c r="B50" s="127" t="s">
        <v>314</v>
      </c>
      <c r="C50" s="129"/>
      <c r="D50" s="335">
        <f>+D24+D49+D31</f>
        <v>-69750458</v>
      </c>
      <c r="E50" s="335">
        <f>+E24+E49+E31</f>
        <v>15986988</v>
      </c>
      <c r="F50" s="124"/>
      <c r="G50" s="295">
        <f t="shared" si="2"/>
        <v>-85737446</v>
      </c>
      <c r="H50" s="325">
        <f t="shared" si="3"/>
        <v>-5.3629517955477288</v>
      </c>
      <c r="I50" s="120"/>
      <c r="K50" s="125">
        <v>2756515</v>
      </c>
    </row>
    <row r="51" spans="2:11" s="125" customFormat="1" ht="21" customHeight="1">
      <c r="B51" s="130" t="s">
        <v>167</v>
      </c>
      <c r="C51" s="128"/>
      <c r="D51" s="337"/>
      <c r="E51" s="338"/>
      <c r="F51" s="124"/>
      <c r="G51" s="295">
        <f t="shared" si="2"/>
        <v>0</v>
      </c>
      <c r="H51" s="325">
        <f t="shared" si="3"/>
        <v>1</v>
      </c>
      <c r="I51" s="120"/>
      <c r="K51" s="125">
        <v>0</v>
      </c>
    </row>
    <row r="52" spans="2:11" s="125" customFormat="1" ht="21" customHeight="1" thickBot="1">
      <c r="B52" s="131" t="s">
        <v>167</v>
      </c>
      <c r="C52" s="128"/>
      <c r="D52" s="337"/>
      <c r="E52" s="338"/>
      <c r="F52" s="124"/>
      <c r="G52" s="295">
        <f t="shared" si="2"/>
        <v>0</v>
      </c>
      <c r="H52" s="325">
        <f t="shared" si="3"/>
        <v>1</v>
      </c>
      <c r="I52" s="120"/>
      <c r="K52" s="125">
        <v>0</v>
      </c>
    </row>
    <row r="53" spans="2:11" s="125" customFormat="1" ht="21" customHeight="1" thickBot="1">
      <c r="B53" s="127" t="s">
        <v>219</v>
      </c>
      <c r="C53" s="129"/>
      <c r="D53" s="335">
        <f>+D49+D31+D24</f>
        <v>-69750458</v>
      </c>
      <c r="E53" s="336">
        <f>+E49+E31+E24</f>
        <v>15986988</v>
      </c>
      <c r="F53" s="124"/>
      <c r="G53" s="317">
        <f t="shared" si="2"/>
        <v>-85737446</v>
      </c>
      <c r="H53" s="328">
        <f t="shared" si="3"/>
        <v>-5.3629517955477288</v>
      </c>
      <c r="I53" s="120"/>
      <c r="K53" s="125">
        <v>2756515</v>
      </c>
    </row>
    <row r="54" spans="2:11" s="125" customFormat="1" ht="21" customHeight="1" thickBot="1">
      <c r="B54" s="126" t="s">
        <v>220</v>
      </c>
      <c r="C54" s="123"/>
      <c r="D54" s="332">
        <f>+[11]Flujo!D72</f>
        <v>180545868</v>
      </c>
      <c r="E54" s="332">
        <f>+[11]Flujo!E72</f>
        <v>164558880</v>
      </c>
      <c r="F54" s="132"/>
      <c r="G54" s="295">
        <f t="shared" si="2"/>
        <v>15986988</v>
      </c>
      <c r="H54" s="325">
        <f t="shared" si="3"/>
        <v>9.7150563980503507E-2</v>
      </c>
      <c r="I54" s="120"/>
      <c r="K54" s="125">
        <v>15986987</v>
      </c>
    </row>
    <row r="55" spans="2:11" s="125" customFormat="1" ht="21" customHeight="1" thickBot="1">
      <c r="B55" s="133" t="s">
        <v>221</v>
      </c>
      <c r="C55" s="134">
        <v>7</v>
      </c>
      <c r="D55" s="339">
        <f>SUM(D51:D54)</f>
        <v>110795410</v>
      </c>
      <c r="E55" s="339">
        <f>SUM(E51:E54)</f>
        <v>180545868</v>
      </c>
      <c r="G55" s="317">
        <f>ROUND(+(D55-E55),0)</f>
        <v>-69750458</v>
      </c>
      <c r="H55" s="328">
        <f t="shared" si="3"/>
        <v>-0.38633095718368921</v>
      </c>
      <c r="I55" s="120"/>
      <c r="K55" s="125">
        <v>18743502</v>
      </c>
    </row>
    <row r="56" spans="2:11">
      <c r="D56" s="311"/>
      <c r="E56" s="311"/>
    </row>
    <row r="57" spans="2:11">
      <c r="D57" s="340">
        <f>+D55-Balance!D6</f>
        <v>0</v>
      </c>
      <c r="E57" s="340">
        <f>+E55-Balance!E6</f>
        <v>0</v>
      </c>
    </row>
    <row r="61" spans="2:11">
      <c r="B61" t="s">
        <v>370</v>
      </c>
      <c r="D61" s="137">
        <v>167186100</v>
      </c>
    </row>
    <row r="62" spans="2:11">
      <c r="D62" s="137">
        <f>+D55-D61</f>
        <v>-56390690</v>
      </c>
    </row>
  </sheetData>
  <mergeCells count="3">
    <mergeCell ref="B2:B3"/>
    <mergeCell ref="C2:C3"/>
    <mergeCell ref="G2:H2"/>
  </mergeCells>
  <pageMargins left="0.23622047244094491" right="0.27559055118110237" top="0.98425196850393704" bottom="0.98425196850393704" header="0" footer="0"/>
  <pageSetup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000066"/>
  </sheetPr>
  <dimension ref="B2:I26"/>
  <sheetViews>
    <sheetView showGridLines="0" topLeftCell="A4" workbookViewId="0">
      <selection activeCell="C11" sqref="C11"/>
    </sheetView>
  </sheetViews>
  <sheetFormatPr baseColWidth="10" defaultColWidth="11.42578125" defaultRowHeight="12"/>
  <cols>
    <col min="1" max="1" width="11.42578125" style="149"/>
    <col min="2" max="2" width="45.5703125" style="149" bestFit="1" customWidth="1"/>
    <col min="3" max="3" width="14.28515625" style="376" bestFit="1" customWidth="1"/>
    <col min="4" max="4" width="14.28515625" style="149" bestFit="1" customWidth="1"/>
    <col min="5" max="5" width="13.42578125" style="149" bestFit="1" customWidth="1"/>
    <col min="6" max="6" width="13.85546875" style="149" bestFit="1" customWidth="1"/>
    <col min="7" max="16384" width="11.42578125" style="149"/>
  </cols>
  <sheetData>
    <row r="2" spans="2:9">
      <c r="B2" s="148" t="s">
        <v>103</v>
      </c>
      <c r="C2" s="373" t="s">
        <v>8</v>
      </c>
      <c r="F2" s="374"/>
      <c r="G2" s="375"/>
      <c r="H2" s="375"/>
      <c r="I2" s="374"/>
    </row>
    <row r="3" spans="2:9">
      <c r="B3" s="149" t="s">
        <v>345</v>
      </c>
      <c r="C3" s="376">
        <f>+cálculos!D71</f>
        <v>41320156</v>
      </c>
      <c r="F3" s="374"/>
      <c r="G3" s="374"/>
      <c r="H3" s="374"/>
      <c r="I3" s="374"/>
    </row>
    <row r="4" spans="2:9">
      <c r="B4" s="149" t="s">
        <v>399</v>
      </c>
      <c r="C4" s="376">
        <f>-cálculos!D71</f>
        <v>-41320156</v>
      </c>
    </row>
    <row r="5" spans="2:9">
      <c r="B5" s="174" t="s">
        <v>400</v>
      </c>
      <c r="C5" s="377">
        <f>+cálculos!C71</f>
        <v>65277259</v>
      </c>
      <c r="G5" s="351"/>
      <c r="H5" s="351"/>
      <c r="I5" s="352"/>
    </row>
    <row r="6" spans="2:9">
      <c r="B6" s="148" t="s">
        <v>398</v>
      </c>
      <c r="C6" s="378">
        <f>SUM(C3:C5)</f>
        <v>65277259</v>
      </c>
      <c r="G6" s="351"/>
      <c r="H6" s="351"/>
    </row>
    <row r="8" spans="2:9">
      <c r="B8" s="379" t="s">
        <v>104</v>
      </c>
    </row>
    <row r="9" spans="2:9">
      <c r="B9" s="148" t="s">
        <v>21</v>
      </c>
      <c r="C9" s="373" t="s">
        <v>8</v>
      </c>
    </row>
    <row r="10" spans="2:9">
      <c r="B10" s="149" t="str">
        <f>+B3</f>
        <v>Ejercicio 2022</v>
      </c>
      <c r="C10" s="376">
        <f>+cálculos!D20-cálculos!D21</f>
        <v>214577970</v>
      </c>
    </row>
    <row r="11" spans="2:9">
      <c r="B11" s="149" t="str">
        <f>+B4</f>
        <v>Acum dic 2022</v>
      </c>
      <c r="C11" s="376">
        <f>-(+cálculos!D20-cálculos!D21)</f>
        <v>-214577970</v>
      </c>
    </row>
    <row r="12" spans="2:9">
      <c r="B12" s="174" t="str">
        <f>+B5</f>
        <v>Acum dic 2023</v>
      </c>
      <c r="C12" s="377">
        <f>+cálculos!D20-cálculos!D21</f>
        <v>214577970</v>
      </c>
    </row>
    <row r="13" spans="2:9">
      <c r="B13" s="148" t="str">
        <f>+B6</f>
        <v>Periodo dic 2023 - dic 2022</v>
      </c>
      <c r="C13" s="378">
        <f>SUM(C10:C12)</f>
        <v>214577970</v>
      </c>
    </row>
    <row r="16" spans="2:9">
      <c r="B16" s="148" t="s">
        <v>23</v>
      </c>
      <c r="C16" s="373" t="s">
        <v>8</v>
      </c>
    </row>
    <row r="17" spans="2:5">
      <c r="B17" s="149" t="str">
        <f>+B3</f>
        <v>Ejercicio 2022</v>
      </c>
      <c r="C17" s="376">
        <f>-cálculos!E21</f>
        <v>36613290</v>
      </c>
    </row>
    <row r="18" spans="2:5">
      <c r="B18" s="149" t="str">
        <f>+B4</f>
        <v>Acum dic 2022</v>
      </c>
      <c r="C18" s="376">
        <f>+cálculos!E21</f>
        <v>-36613290</v>
      </c>
    </row>
    <row r="19" spans="2:5">
      <c r="B19" s="174" t="str">
        <f>+B5</f>
        <v>Acum dic 2023</v>
      </c>
      <c r="C19" s="377">
        <f>-cálculos!D21</f>
        <v>48853914</v>
      </c>
    </row>
    <row r="20" spans="2:5">
      <c r="B20" s="148" t="str">
        <f>+B13</f>
        <v>Periodo dic 2023 - dic 2022</v>
      </c>
      <c r="C20" s="378">
        <f>SUM(C17:C19)</f>
        <v>48853914</v>
      </c>
    </row>
    <row r="24" spans="2:5">
      <c r="C24" s="380"/>
      <c r="D24" s="381"/>
      <c r="E24" s="382"/>
    </row>
    <row r="25" spans="2:5">
      <c r="C25" s="383"/>
      <c r="D25" s="383"/>
      <c r="E25" s="383"/>
    </row>
    <row r="26" spans="2:5">
      <c r="C26" s="383"/>
      <c r="D26" s="383"/>
      <c r="E26" s="383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ECB1-97A5-4F67-9F86-66C5C1BDEA35}">
  <dimension ref="B1:F1"/>
  <sheetViews>
    <sheetView topLeftCell="B12" workbookViewId="0">
      <selection activeCell="D29" sqref="D29"/>
    </sheetView>
  </sheetViews>
  <sheetFormatPr baseColWidth="10" defaultColWidth="11.5703125" defaultRowHeight="15.75"/>
  <cols>
    <col min="1" max="1" width="10.85546875" style="398" customWidth="1"/>
    <col min="2" max="5" width="23.140625" style="399" customWidth="1"/>
    <col min="6" max="6" width="23.140625" style="400" customWidth="1"/>
    <col min="7" max="16384" width="11.5703125" style="398"/>
  </cols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DE50-7AEC-4BB9-BE5C-998FE42882D8}">
  <dimension ref="B1:D46"/>
  <sheetViews>
    <sheetView topLeftCell="A30" workbookViewId="0">
      <selection activeCell="F42" sqref="F42"/>
    </sheetView>
  </sheetViews>
  <sheetFormatPr baseColWidth="10" defaultRowHeight="12.75"/>
  <cols>
    <col min="2" max="2" width="65" bestFit="1" customWidth="1"/>
    <col min="3" max="4" width="10.85546875" bestFit="1" customWidth="1"/>
  </cols>
  <sheetData>
    <row r="1" spans="2:4" ht="13.5" thickBot="1"/>
    <row r="2" spans="2:4" ht="13.5" thickBot="1">
      <c r="B2" s="463" t="s">
        <v>404</v>
      </c>
      <c r="C2" s="464">
        <v>2023</v>
      </c>
      <c r="D2" s="464">
        <v>2022</v>
      </c>
    </row>
    <row r="3" spans="2:4" ht="15.75" thickTop="1">
      <c r="B3" s="465"/>
      <c r="C3" s="465"/>
      <c r="D3" s="465"/>
    </row>
    <row r="4" spans="2:4" ht="15">
      <c r="B4" s="466" t="s">
        <v>105</v>
      </c>
      <c r="C4" s="465"/>
      <c r="D4" s="465"/>
    </row>
    <row r="5" spans="2:4">
      <c r="B5" s="467" t="s">
        <v>405</v>
      </c>
      <c r="C5" s="468">
        <f>+cálculos!D6</f>
        <v>276781050</v>
      </c>
      <c r="D5" s="468">
        <f>+cálculos!E6</f>
        <v>326058264</v>
      </c>
    </row>
    <row r="6" spans="2:4" ht="13.5" thickBot="1">
      <c r="B6" s="467" t="s">
        <v>406</v>
      </c>
      <c r="C6" s="468">
        <f>+cálculos!D7</f>
        <v>2419695021</v>
      </c>
      <c r="D6" s="468">
        <f>+cálculos!E7</f>
        <v>2325871931</v>
      </c>
    </row>
    <row r="7" spans="2:4" ht="13.5" thickBot="1">
      <c r="B7" s="469" t="s">
        <v>407</v>
      </c>
      <c r="C7" s="470">
        <v>2696476071</v>
      </c>
      <c r="D7" s="471">
        <v>2651930195</v>
      </c>
    </row>
    <row r="8" spans="2:4">
      <c r="B8" s="472"/>
      <c r="C8" s="473">
        <v>272580635</v>
      </c>
      <c r="D8" s="473">
        <v>272600635</v>
      </c>
    </row>
    <row r="9" spans="2:4" ht="15">
      <c r="B9" s="466" t="s">
        <v>408</v>
      </c>
      <c r="C9" s="465"/>
      <c r="D9" s="465"/>
    </row>
    <row r="10" spans="2:4">
      <c r="B10" s="467" t="s">
        <v>409</v>
      </c>
      <c r="C10" s="468">
        <f>+cálculos!D10</f>
        <v>362634346</v>
      </c>
      <c r="D10" s="468">
        <f>+cálculos!E10</f>
        <v>266626154</v>
      </c>
    </row>
    <row r="11" spans="2:4">
      <c r="B11" s="467" t="s">
        <v>410</v>
      </c>
      <c r="C11" s="468">
        <f>+cálculos!D11</f>
        <v>1175813467</v>
      </c>
      <c r="D11" s="468">
        <f>+cálculos!E11</f>
        <v>1274907748</v>
      </c>
    </row>
    <row r="12" spans="2:4">
      <c r="B12" s="467" t="s">
        <v>411</v>
      </c>
      <c r="C12" s="468">
        <f>+cálculos!E13</f>
        <v>691794448</v>
      </c>
      <c r="D12" s="468">
        <f>+cálculos!F13</f>
        <v>693964870</v>
      </c>
    </row>
    <row r="13" spans="2:4" ht="13.5" thickBot="1">
      <c r="B13" s="467" t="s">
        <v>412</v>
      </c>
      <c r="C13" s="468">
        <f>+cálculos!D12</f>
        <v>442178569</v>
      </c>
      <c r="D13" s="468">
        <f>+cálculos!E12</f>
        <v>418601845</v>
      </c>
    </row>
    <row r="14" spans="2:4" ht="13.5" thickBot="1">
      <c r="B14" s="469" t="s">
        <v>413</v>
      </c>
      <c r="C14" s="470">
        <v>2696476071</v>
      </c>
      <c r="D14" s="471">
        <v>2651930195</v>
      </c>
    </row>
    <row r="15" spans="2:4" ht="15">
      <c r="B15" s="465"/>
      <c r="C15" s="473">
        <v>272580635</v>
      </c>
      <c r="D15" s="473">
        <v>272600635</v>
      </c>
    </row>
    <row r="16" spans="2:4" ht="15">
      <c r="B16" s="465"/>
      <c r="C16" s="465"/>
      <c r="D16" s="465"/>
    </row>
    <row r="17" spans="2:4" ht="15">
      <c r="B17" s="466" t="s">
        <v>414</v>
      </c>
      <c r="C17" s="465"/>
      <c r="D17" s="465"/>
    </row>
    <row r="18" spans="2:4" ht="15">
      <c r="B18" s="465"/>
      <c r="C18" s="465"/>
      <c r="D18" s="465"/>
    </row>
    <row r="19" spans="2:4">
      <c r="B19" s="467" t="s">
        <v>415</v>
      </c>
      <c r="C19" s="468">
        <f>+Resultado!D5</f>
        <v>640855854</v>
      </c>
      <c r="D19" s="468">
        <f>+Resultado!E5</f>
        <v>580468054</v>
      </c>
    </row>
    <row r="20" spans="2:4">
      <c r="B20" s="467" t="s">
        <v>416</v>
      </c>
      <c r="C20" s="468">
        <f>+Resultado!D6+Resultado!D7+Resultado!D8+Resultado!D10</f>
        <v>-389534004</v>
      </c>
      <c r="D20" s="468">
        <f>+Resultado!E6+Resultado!E7+Resultado!E8+Resultado!E10</f>
        <v>-347136671</v>
      </c>
    </row>
    <row r="21" spans="2:4">
      <c r="B21" s="467" t="s">
        <v>417</v>
      </c>
      <c r="C21" s="468">
        <f>+Resultado!D13+Resultado!D14+Resultado!D16+Resultado!D17</f>
        <v>-76617993</v>
      </c>
      <c r="D21" s="468">
        <f>+Resultado!E13+Resultado!E14+Resultado!E16+Resultado!E17</f>
        <v>-136696953</v>
      </c>
    </row>
    <row r="22" spans="2:4">
      <c r="B22" s="467" t="s">
        <v>418</v>
      </c>
      <c r="C22" s="468">
        <f>+Resultado!D15+Resultado!D11</f>
        <v>-8979801</v>
      </c>
      <c r="D22" s="468">
        <f>+Resultado!E15+Resultado!E11</f>
        <v>-15352190</v>
      </c>
    </row>
    <row r="23" spans="2:4">
      <c r="B23" s="467" t="s">
        <v>419</v>
      </c>
      <c r="C23" s="468">
        <f>+Resultado!D20</f>
        <v>-33886203</v>
      </c>
      <c r="D23" s="468">
        <f>+Resultado!E20</f>
        <v>2577179</v>
      </c>
    </row>
    <row r="24" spans="2:4" ht="13.5" thickBot="1">
      <c r="B24" s="467" t="s">
        <v>420</v>
      </c>
      <c r="C24" s="468">
        <v>-66560594</v>
      </c>
      <c r="D24" s="468">
        <v>-66560594</v>
      </c>
    </row>
    <row r="25" spans="2:4" ht="13.5" thickBot="1">
      <c r="B25" s="469" t="s">
        <v>421</v>
      </c>
      <c r="C25" s="470">
        <f>SUM(C19:C24)</f>
        <v>65277259</v>
      </c>
      <c r="D25" s="471">
        <v>41320156</v>
      </c>
    </row>
    <row r="26" spans="2:4" ht="15">
      <c r="B26" s="465"/>
      <c r="C26" s="478">
        <f>+C25-Resultado!D26</f>
        <v>0</v>
      </c>
      <c r="D26" s="474">
        <v>48989724</v>
      </c>
    </row>
    <row r="27" spans="2:4" ht="15">
      <c r="B27" s="465"/>
      <c r="C27" s="475">
        <v>0</v>
      </c>
      <c r="D27" s="475">
        <v>0</v>
      </c>
    </row>
    <row r="28" spans="2:4" ht="15">
      <c r="B28" s="466" t="s">
        <v>422</v>
      </c>
      <c r="C28" s="465"/>
      <c r="D28" s="465"/>
    </row>
    <row r="29" spans="2:4" ht="15">
      <c r="B29" s="465"/>
      <c r="C29" s="465"/>
      <c r="D29" s="465"/>
    </row>
    <row r="30" spans="2:4">
      <c r="B30" s="467" t="s">
        <v>423</v>
      </c>
      <c r="C30" s="468">
        <v>207848297</v>
      </c>
      <c r="D30" s="468">
        <v>241057418</v>
      </c>
    </row>
    <row r="31" spans="2:4">
      <c r="B31" s="467" t="s">
        <v>424</v>
      </c>
      <c r="C31" s="468">
        <v>-150002292</v>
      </c>
      <c r="D31" s="468">
        <v>-165900708</v>
      </c>
    </row>
    <row r="32" spans="2:4">
      <c r="B32" s="467" t="s">
        <v>425</v>
      </c>
      <c r="C32" s="468">
        <v>-127596463</v>
      </c>
      <c r="D32" s="468">
        <v>-59169722</v>
      </c>
    </row>
    <row r="33" spans="2:4">
      <c r="B33" s="466" t="s">
        <v>426</v>
      </c>
      <c r="C33" s="476">
        <v>-69750458</v>
      </c>
      <c r="D33" s="476">
        <v>15986988</v>
      </c>
    </row>
    <row r="34" spans="2:4">
      <c r="B34" s="467" t="s">
        <v>427</v>
      </c>
      <c r="C34" s="468">
        <v>180545868</v>
      </c>
      <c r="D34" s="468">
        <v>164558880</v>
      </c>
    </row>
    <row r="35" spans="2:4" ht="15.75" thickBot="1">
      <c r="B35" s="465"/>
      <c r="C35" s="465"/>
      <c r="D35" s="465"/>
    </row>
    <row r="36" spans="2:4" ht="13.5" thickBot="1">
      <c r="B36" s="469" t="s">
        <v>428</v>
      </c>
      <c r="C36" s="470">
        <v>110795410</v>
      </c>
      <c r="D36" s="471">
        <v>180545868</v>
      </c>
    </row>
    <row r="37" spans="2:4" ht="15">
      <c r="B37" s="465"/>
      <c r="C37" s="473">
        <v>1210527</v>
      </c>
      <c r="D37" s="473">
        <v>1045566</v>
      </c>
    </row>
    <row r="38" spans="2:4" ht="15">
      <c r="B38" s="465"/>
      <c r="C38" s="465"/>
      <c r="D38" s="465"/>
    </row>
    <row r="39" spans="2:4" ht="15">
      <c r="B39" s="466" t="s">
        <v>429</v>
      </c>
      <c r="C39" s="465"/>
      <c r="D39" s="465"/>
    </row>
    <row r="40" spans="2:4" ht="15">
      <c r="B40" s="477"/>
      <c r="C40" s="477"/>
      <c r="D40" s="477"/>
    </row>
    <row r="41" spans="2:4">
      <c r="B41" s="467" t="s">
        <v>430</v>
      </c>
      <c r="C41" s="468">
        <f>+Balance!D58</f>
        <v>468358402</v>
      </c>
      <c r="D41" s="468">
        <f>+Balance!E58</f>
        <v>468358402</v>
      </c>
    </row>
    <row r="42" spans="2:4">
      <c r="B42" s="467" t="s">
        <v>431</v>
      </c>
      <c r="C42" s="468">
        <f>+Balance!D59</f>
        <v>203895643.88104901</v>
      </c>
      <c r="D42" s="468">
        <f>+Balance!E59</f>
        <v>181974048</v>
      </c>
    </row>
    <row r="43" spans="2:4">
      <c r="B43" s="467" t="s">
        <v>432</v>
      </c>
      <c r="C43" s="468">
        <f>+Balance!D61</f>
        <v>-37268415</v>
      </c>
      <c r="D43" s="468">
        <f>+Balance!E61</f>
        <v>-37268415</v>
      </c>
    </row>
    <row r="44" spans="2:4">
      <c r="B44" s="467" t="s">
        <v>433</v>
      </c>
      <c r="C44" s="468">
        <f>+Balance!D62</f>
        <v>80864058.224631608</v>
      </c>
      <c r="D44" s="468">
        <f>+Balance!E62</f>
        <v>78730413</v>
      </c>
    </row>
    <row r="45" spans="2:4" ht="13.5" thickBot="1">
      <c r="B45" s="467" t="s">
        <v>434</v>
      </c>
      <c r="C45" s="468">
        <f>+Balance!D64</f>
        <v>442178569</v>
      </c>
      <c r="D45" s="468">
        <f>+Balance!E64</f>
        <v>418601845</v>
      </c>
    </row>
    <row r="46" spans="2:4" ht="13.5" thickBot="1">
      <c r="B46" s="469" t="s">
        <v>96</v>
      </c>
      <c r="C46" s="470">
        <f>SUM(C41:C45)</f>
        <v>1158028258.1056807</v>
      </c>
      <c r="D46" s="470">
        <f>SUM(D41:D45)</f>
        <v>1110396293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E1F5B-6D5D-44B9-8A36-C9D6DF59615D}">
  <dimension ref="B2:H23"/>
  <sheetViews>
    <sheetView workbookViewId="0">
      <selection activeCell="B3" sqref="B3:F10"/>
    </sheetView>
  </sheetViews>
  <sheetFormatPr baseColWidth="10" defaultRowHeight="12.75"/>
  <cols>
    <col min="2" max="2" width="35.28515625" customWidth="1"/>
    <col min="3" max="3" width="15.5703125" customWidth="1"/>
    <col min="4" max="4" width="12.85546875" customWidth="1"/>
    <col min="8" max="8" width="12.28515625" bestFit="1" customWidth="1"/>
  </cols>
  <sheetData>
    <row r="2" spans="2:8" ht="17.25">
      <c r="B2" s="449" t="s">
        <v>389</v>
      </c>
    </row>
    <row r="3" spans="2:8" ht="13.5" thickBot="1">
      <c r="B3" s="55" t="s">
        <v>371</v>
      </c>
      <c r="C3" s="344" t="s">
        <v>401</v>
      </c>
      <c r="D3" s="344" t="s">
        <v>402</v>
      </c>
      <c r="E3" s="343" t="s">
        <v>279</v>
      </c>
      <c r="F3" s="343" t="s">
        <v>339</v>
      </c>
    </row>
    <row r="4" spans="2:8">
      <c r="B4" s="442" t="s">
        <v>374</v>
      </c>
      <c r="C4" s="444">
        <f>+Resultado!D6</f>
        <v>-85362422</v>
      </c>
      <c r="D4" s="444">
        <f>+Resultado!E6</f>
        <v>-79574329</v>
      </c>
      <c r="E4" s="452">
        <f>+F4/D4</f>
        <v>7.2738194248549673E-2</v>
      </c>
      <c r="F4" s="444">
        <f>+C4-D4</f>
        <v>-5788093</v>
      </c>
      <c r="H4" s="447">
        <f>+F4/D4</f>
        <v>7.2738194248549673E-2</v>
      </c>
    </row>
    <row r="5" spans="2:8">
      <c r="B5" s="442" t="s">
        <v>375</v>
      </c>
      <c r="C5" s="444">
        <f>+Resultado!D7</f>
        <v>-76753766</v>
      </c>
      <c r="D5" s="444">
        <f>+Resultado!E7</f>
        <v>-66542438</v>
      </c>
      <c r="E5" s="452">
        <f t="shared" ref="E5:E10" si="0">+F5/D5</f>
        <v>0.15345587427980922</v>
      </c>
      <c r="F5" s="444">
        <f t="shared" ref="F5:F10" si="1">+C5-D5</f>
        <v>-10211328</v>
      </c>
      <c r="H5" s="447">
        <f t="shared" ref="H5:H10" si="2">+F5/D5</f>
        <v>0.15345587427980922</v>
      </c>
    </row>
    <row r="6" spans="2:8">
      <c r="B6" s="442" t="s">
        <v>376</v>
      </c>
      <c r="C6" s="444">
        <f>+Resultado!D10</f>
        <v>-149720736</v>
      </c>
      <c r="D6" s="444">
        <f>+Resultado!E10</f>
        <v>-126198987</v>
      </c>
      <c r="E6" s="452">
        <f t="shared" si="0"/>
        <v>0.18638619500170789</v>
      </c>
      <c r="F6" s="444">
        <f>+C6-D6</f>
        <v>-23521749</v>
      </c>
      <c r="H6" s="447">
        <f t="shared" si="2"/>
        <v>0.18638619500170789</v>
      </c>
    </row>
    <row r="7" spans="2:8">
      <c r="B7" s="442" t="s">
        <v>447</v>
      </c>
      <c r="C7" s="444">
        <f>+Resultado!D15</f>
        <v>-12316346</v>
      </c>
      <c r="D7" s="444">
        <f>+Resultado!E15</f>
        <v>-13830357</v>
      </c>
      <c r="E7" s="424">
        <f t="shared" si="0"/>
        <v>-0.10947013153745778</v>
      </c>
      <c r="F7" s="444">
        <f>+C7-D7</f>
        <v>1514011</v>
      </c>
      <c r="H7" s="447"/>
    </row>
    <row r="8" spans="2:8">
      <c r="B8" s="56" t="s">
        <v>263</v>
      </c>
      <c r="C8" s="446">
        <f>SUM(C4:C7)</f>
        <v>-324153270</v>
      </c>
      <c r="D8" s="446">
        <f>SUM(D4:D7)</f>
        <v>-286146111</v>
      </c>
      <c r="E8" s="453">
        <f t="shared" si="0"/>
        <v>0.13282430736932155</v>
      </c>
      <c r="F8" s="446">
        <f t="shared" si="1"/>
        <v>-38007159</v>
      </c>
      <c r="H8" s="447">
        <f t="shared" si="2"/>
        <v>0.13282430736932155</v>
      </c>
    </row>
    <row r="9" spans="2:8">
      <c r="B9" s="442" t="s">
        <v>448</v>
      </c>
      <c r="C9" s="444">
        <f>+Resultado!D8</f>
        <v>-77697080</v>
      </c>
      <c r="D9" s="444">
        <f>+Resultado!E8</f>
        <v>-74820917</v>
      </c>
      <c r="E9" s="452">
        <f t="shared" si="0"/>
        <v>3.8440627505273689E-2</v>
      </c>
      <c r="F9" s="444">
        <f t="shared" si="1"/>
        <v>-2876163</v>
      </c>
      <c r="H9" s="447">
        <f t="shared" si="2"/>
        <v>3.8440627505273689E-2</v>
      </c>
    </row>
    <row r="10" spans="2:8">
      <c r="B10" s="443" t="s">
        <v>377</v>
      </c>
      <c r="C10" s="446">
        <f>+C9+C8</f>
        <v>-401850350</v>
      </c>
      <c r="D10" s="446">
        <f>+D9+D8</f>
        <v>-360967028</v>
      </c>
      <c r="E10" s="453">
        <f t="shared" si="0"/>
        <v>0.11326054411817359</v>
      </c>
      <c r="F10" s="446">
        <f t="shared" si="1"/>
        <v>-40883322</v>
      </c>
      <c r="H10" s="447">
        <f t="shared" si="2"/>
        <v>0.11326054411817359</v>
      </c>
    </row>
    <row r="11" spans="2:8">
      <c r="B11" s="445" t="s">
        <v>378</v>
      </c>
    </row>
    <row r="14" spans="2:8" ht="17.25">
      <c r="B14" s="450" t="s">
        <v>388</v>
      </c>
    </row>
    <row r="15" spans="2:8" ht="18" thickBot="1">
      <c r="B15" s="451" t="s">
        <v>390</v>
      </c>
      <c r="C15" s="343" t="s">
        <v>372</v>
      </c>
      <c r="D15" s="343" t="s">
        <v>373</v>
      </c>
      <c r="E15" s="344" t="s">
        <v>379</v>
      </c>
      <c r="F15" s="55" t="s">
        <v>380</v>
      </c>
    </row>
    <row r="16" spans="2:8">
      <c r="B16" s="442" t="s">
        <v>381</v>
      </c>
      <c r="C16" s="444">
        <f>+Resultado!D13</f>
        <v>15948850</v>
      </c>
      <c r="D16" s="444">
        <f>+Resultado!E13</f>
        <v>16022604</v>
      </c>
      <c r="E16" s="424">
        <f>+F16/D16</f>
        <v>-4.6031219394799998E-3</v>
      </c>
      <c r="F16" s="444">
        <f>+C16-D16</f>
        <v>-73754</v>
      </c>
    </row>
    <row r="17" spans="2:6">
      <c r="B17" s="442" t="s">
        <v>382</v>
      </c>
      <c r="C17" s="444">
        <f>+Resultado!D14</f>
        <v>-48853914</v>
      </c>
      <c r="D17" s="444">
        <f>+Resultado!E14</f>
        <v>-36613290</v>
      </c>
      <c r="E17" s="452">
        <f>+F17/D17</f>
        <v>0.33432188148074099</v>
      </c>
      <c r="F17" s="444">
        <f t="shared" ref="F17:F22" si="3">+C17-D17</f>
        <v>-12240624</v>
      </c>
    </row>
    <row r="18" spans="2:6">
      <c r="B18" s="442" t="s">
        <v>383</v>
      </c>
      <c r="C18" s="444">
        <f>+Resultado!D16</f>
        <v>1945731</v>
      </c>
      <c r="D18" s="444">
        <f>+Resultado!E16</f>
        <v>-853529</v>
      </c>
      <c r="E18" s="454" t="s">
        <v>384</v>
      </c>
      <c r="F18" s="444">
        <f t="shared" si="3"/>
        <v>2799260</v>
      </c>
    </row>
    <row r="19" spans="2:6">
      <c r="B19" s="442" t="s">
        <v>385</v>
      </c>
      <c r="C19" s="444">
        <f>+Resultado!D17</f>
        <v>-45658660</v>
      </c>
      <c r="D19" s="444">
        <f>+Resultado!E17</f>
        <v>-115252738</v>
      </c>
      <c r="E19" s="424">
        <v>-0.67600000000000005</v>
      </c>
      <c r="F19" s="444">
        <f t="shared" si="3"/>
        <v>69594078</v>
      </c>
    </row>
    <row r="20" spans="2:6">
      <c r="B20" s="56" t="s">
        <v>391</v>
      </c>
      <c r="C20" s="446">
        <f>SUM(C16:C19)</f>
        <v>-76617993</v>
      </c>
      <c r="D20" s="446">
        <f>SUM(D16:D19)</f>
        <v>-136696953</v>
      </c>
      <c r="E20" s="430">
        <f>+F20/D20</f>
        <v>-0.43950474887322472</v>
      </c>
      <c r="F20" s="446">
        <f t="shared" si="3"/>
        <v>60078960</v>
      </c>
    </row>
    <row r="21" spans="2:6">
      <c r="B21" s="442" t="s">
        <v>386</v>
      </c>
      <c r="C21" s="444">
        <f>+Resultado!D11</f>
        <v>3336545</v>
      </c>
      <c r="D21" s="444">
        <f>+Resultado!E11</f>
        <v>-1521833</v>
      </c>
      <c r="E21" s="455" t="s">
        <v>384</v>
      </c>
      <c r="F21" s="444">
        <f t="shared" si="3"/>
        <v>4858378</v>
      </c>
    </row>
    <row r="22" spans="2:6">
      <c r="B22" s="442" t="s">
        <v>387</v>
      </c>
      <c r="C22" s="444">
        <f>+Resultado!D20</f>
        <v>-33886203</v>
      </c>
      <c r="D22" s="444">
        <f>+Resultado!E20</f>
        <v>2577179</v>
      </c>
      <c r="E22" s="455" t="s">
        <v>384</v>
      </c>
      <c r="F22" s="444">
        <f t="shared" si="3"/>
        <v>-36463382</v>
      </c>
    </row>
    <row r="23" spans="2:6">
      <c r="B23" s="56"/>
      <c r="C23" s="448"/>
      <c r="D23" s="448"/>
      <c r="E23" s="448"/>
      <c r="F23" s="44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  <pageSetUpPr fitToPage="1"/>
  </sheetPr>
  <dimension ref="A1:T52"/>
  <sheetViews>
    <sheetView showGridLines="0" topLeftCell="B1" workbookViewId="0">
      <selection activeCell="F13" sqref="F13"/>
    </sheetView>
  </sheetViews>
  <sheetFormatPr baseColWidth="10" defaultColWidth="11.42578125" defaultRowHeight="15" customHeight="1"/>
  <cols>
    <col min="1" max="1" width="4" style="7" customWidth="1"/>
    <col min="2" max="2" width="44.85546875" style="7" bestFit="1" customWidth="1"/>
    <col min="3" max="3" width="17.7109375" style="7" bestFit="1" customWidth="1"/>
    <col min="4" max="4" width="12.7109375" style="7" customWidth="1"/>
    <col min="5" max="5" width="15.5703125" style="7" customWidth="1"/>
    <col min="6" max="7" width="12.5703125" style="7" bestFit="1" customWidth="1"/>
    <col min="8" max="8" width="11.42578125" style="7"/>
    <col min="9" max="9" width="11.42578125" style="7" customWidth="1"/>
    <col min="10" max="10" width="14.140625" style="7" customWidth="1"/>
    <col min="11" max="11" width="11.42578125" style="7" customWidth="1"/>
    <col min="12" max="16384" width="11.42578125" style="7"/>
  </cols>
  <sheetData>
    <row r="1" spans="1:10" ht="15" customHeight="1">
      <c r="A1" s="13" t="s">
        <v>200</v>
      </c>
    </row>
    <row r="3" spans="1:10" ht="15" customHeight="1" thickBot="1">
      <c r="B3" s="2" t="s">
        <v>236</v>
      </c>
      <c r="C3" s="460">
        <f>+Resultado!D3</f>
        <v>45291</v>
      </c>
      <c r="D3" s="460">
        <f>+Resultado!E3</f>
        <v>44926</v>
      </c>
      <c r="E3" s="284" t="s">
        <v>279</v>
      </c>
      <c r="F3" s="343" t="s">
        <v>339</v>
      </c>
    </row>
    <row r="4" spans="1:10" ht="15" customHeight="1">
      <c r="B4" s="3" t="s">
        <v>262</v>
      </c>
      <c r="C4" s="345">
        <f>+Resultado!D5</f>
        <v>640855854</v>
      </c>
      <c r="D4" s="345">
        <f>+Resultado!E5</f>
        <v>580468054</v>
      </c>
      <c r="E4" s="9">
        <f t="shared" ref="E4:E14" si="0">ROUND(+F4/D4,3)</f>
        <v>0.104</v>
      </c>
      <c r="F4" s="8">
        <f>+C4-D4</f>
        <v>60387800</v>
      </c>
    </row>
    <row r="5" spans="1:10" s="14" customFormat="1" ht="15" customHeight="1">
      <c r="B5" s="4" t="s">
        <v>263</v>
      </c>
      <c r="C5" s="345">
        <f>+Resultado!D6+Resultado!D7+Resultado!D10+Resultado!D15</f>
        <v>-324153270</v>
      </c>
      <c r="D5" s="345">
        <f>+Resultado!E6+Resultado!E7+Resultado!E10+Resultado!E15</f>
        <v>-286146111</v>
      </c>
      <c r="E5" s="9">
        <f t="shared" si="0"/>
        <v>0.13300000000000001</v>
      </c>
      <c r="F5" s="8">
        <f t="shared" ref="F5:F14" si="1">+C5-D5</f>
        <v>-38007159</v>
      </c>
    </row>
    <row r="6" spans="1:10" s="14" customFormat="1" ht="15" customHeight="1">
      <c r="B6" s="5" t="s">
        <v>184</v>
      </c>
      <c r="C6" s="346">
        <f>+C4+C5</f>
        <v>316702584</v>
      </c>
      <c r="D6" s="346">
        <f>+D4+D5</f>
        <v>294321943</v>
      </c>
      <c r="E6" s="11">
        <f t="shared" si="0"/>
        <v>7.5999999999999998E-2</v>
      </c>
      <c r="F6" s="493">
        <f t="shared" si="1"/>
        <v>22380641</v>
      </c>
      <c r="G6" s="437"/>
      <c r="J6" s="15"/>
    </row>
    <row r="7" spans="1:10" s="14" customFormat="1" ht="15" customHeight="1">
      <c r="B7" s="4" t="s">
        <v>62</v>
      </c>
      <c r="C7" s="345">
        <f>+Resultado!D8</f>
        <v>-77697080</v>
      </c>
      <c r="D7" s="345">
        <f>+Resultado!E8</f>
        <v>-74820917</v>
      </c>
      <c r="E7" s="9">
        <f t="shared" si="0"/>
        <v>3.7999999999999999E-2</v>
      </c>
      <c r="F7" s="494">
        <f t="shared" si="1"/>
        <v>-2876163</v>
      </c>
      <c r="J7" s="15"/>
    </row>
    <row r="8" spans="1:10" s="14" customFormat="1" ht="15" customHeight="1">
      <c r="B8" s="5" t="s">
        <v>264</v>
      </c>
      <c r="C8" s="346">
        <f>+C6+C7</f>
        <v>239005504</v>
      </c>
      <c r="D8" s="346">
        <f>+D6+D7</f>
        <v>219501026</v>
      </c>
      <c r="E8" s="11">
        <f t="shared" si="0"/>
        <v>8.8999999999999996E-2</v>
      </c>
      <c r="F8" s="10">
        <f t="shared" si="1"/>
        <v>19504478</v>
      </c>
      <c r="J8" s="15"/>
    </row>
    <row r="9" spans="1:10" s="14" customFormat="1" ht="15" customHeight="1">
      <c r="B9" s="4" t="s">
        <v>265</v>
      </c>
      <c r="C9" s="345">
        <f>+Resultado!D11</f>
        <v>3336545</v>
      </c>
      <c r="D9" s="345">
        <f>+Resultado!E11</f>
        <v>-1521833</v>
      </c>
      <c r="E9" s="9" t="s">
        <v>384</v>
      </c>
      <c r="F9" s="8">
        <f t="shared" si="1"/>
        <v>4858378</v>
      </c>
      <c r="J9" s="15"/>
    </row>
    <row r="10" spans="1:10" s="14" customFormat="1" ht="15" hidden="1" customHeight="1">
      <c r="B10" s="4" t="s">
        <v>325</v>
      </c>
      <c r="C10" s="345">
        <f>+Resultado!D9</f>
        <v>0</v>
      </c>
      <c r="D10" s="345">
        <f>+Resultado!E9</f>
        <v>0</v>
      </c>
      <c r="E10" s="360" t="s">
        <v>320</v>
      </c>
      <c r="F10" s="8">
        <f t="shared" si="1"/>
        <v>0</v>
      </c>
      <c r="J10" s="15"/>
    </row>
    <row r="11" spans="1:10" s="14" customFormat="1" ht="15" customHeight="1">
      <c r="B11" s="4" t="s">
        <v>266</v>
      </c>
      <c r="C11" s="345">
        <f>+Resultado!D13+Resultado!D14+Resultado!D16+Resultado!D17</f>
        <v>-76617993</v>
      </c>
      <c r="D11" s="345">
        <f>+Resultado!E13+Resultado!E14+Resultado!E16+Resultado!E17</f>
        <v>-136696953</v>
      </c>
      <c r="E11" s="9">
        <f t="shared" si="0"/>
        <v>-0.44</v>
      </c>
      <c r="F11" s="8">
        <f t="shared" si="1"/>
        <v>60078960</v>
      </c>
    </row>
    <row r="12" spans="1:10" s="14" customFormat="1" ht="15" customHeight="1">
      <c r="B12" s="4" t="s">
        <v>222</v>
      </c>
      <c r="C12" s="345">
        <f>+Resultado!D20</f>
        <v>-33886203</v>
      </c>
      <c r="D12" s="345">
        <f>+Resultado!E20</f>
        <v>2577179</v>
      </c>
      <c r="E12" s="9" t="s">
        <v>384</v>
      </c>
      <c r="F12" s="8">
        <f t="shared" si="1"/>
        <v>-36463382</v>
      </c>
      <c r="J12" s="15"/>
    </row>
    <row r="13" spans="1:10" s="14" customFormat="1" ht="15" customHeight="1">
      <c r="B13" s="4" t="s">
        <v>369</v>
      </c>
      <c r="C13" s="345">
        <f>-Resultado!D27</f>
        <v>-66560594</v>
      </c>
      <c r="D13" s="345">
        <f>-Resultado!E27</f>
        <v>-42539263</v>
      </c>
      <c r="E13" s="9">
        <f t="shared" si="0"/>
        <v>0.56499999999999995</v>
      </c>
      <c r="F13" s="8">
        <f>+C13-D13</f>
        <v>-24021331</v>
      </c>
      <c r="J13" s="15"/>
    </row>
    <row r="14" spans="1:10" s="14" customFormat="1" ht="15" customHeight="1">
      <c r="B14" s="5" t="s">
        <v>267</v>
      </c>
      <c r="C14" s="346">
        <f>SUM(C8:C13)</f>
        <v>65277259</v>
      </c>
      <c r="D14" s="346">
        <f>SUM(D8:D13)</f>
        <v>41320156</v>
      </c>
      <c r="E14" s="11">
        <f t="shared" si="0"/>
        <v>0.57999999999999996</v>
      </c>
      <c r="F14" s="10">
        <f t="shared" si="1"/>
        <v>23957103</v>
      </c>
    </row>
    <row r="15" spans="1:10" s="14" customFormat="1" ht="15" customHeight="1">
      <c r="B15" s="433" t="s">
        <v>367</v>
      </c>
      <c r="C15" s="20"/>
      <c r="D15" s="20"/>
    </row>
    <row r="16" spans="1:10" ht="15" customHeight="1">
      <c r="A16" s="13" t="s">
        <v>201</v>
      </c>
      <c r="B16" s="406"/>
      <c r="C16" s="406"/>
      <c r="D16" s="406"/>
      <c r="E16" s="406"/>
      <c r="F16" s="406"/>
      <c r="G16" s="406"/>
    </row>
    <row r="17" spans="2:20" s="14" customFormat="1" ht="15" customHeight="1">
      <c r="B17" s="407"/>
      <c r="C17" s="408"/>
      <c r="D17" s="408"/>
      <c r="E17" s="409"/>
      <c r="F17" s="410"/>
      <c r="G17" s="408"/>
    </row>
    <row r="18" spans="2:20" s="14" customFormat="1" ht="15" customHeight="1" thickBot="1">
      <c r="B18" s="406"/>
      <c r="C18" s="461">
        <f>+C3</f>
        <v>45291</v>
      </c>
      <c r="D18" s="461"/>
      <c r="E18" s="406"/>
      <c r="F18" s="461">
        <f>+D3</f>
        <v>44926</v>
      </c>
      <c r="G18" s="461"/>
      <c r="H18" s="397" t="s">
        <v>343</v>
      </c>
      <c r="J18" s="7"/>
    </row>
    <row r="19" spans="2:20" s="14" customFormat="1" ht="15" customHeight="1" thickBot="1">
      <c r="B19" s="406"/>
      <c r="C19" s="413" t="s">
        <v>189</v>
      </c>
      <c r="D19" s="521" t="s">
        <v>190</v>
      </c>
      <c r="E19" s="406"/>
      <c r="F19" s="414" t="s">
        <v>189</v>
      </c>
      <c r="G19" s="523" t="s">
        <v>190</v>
      </c>
      <c r="H19" s="7"/>
      <c r="I19" s="520"/>
      <c r="J19" s="520"/>
      <c r="L19" s="392"/>
      <c r="M19" s="477"/>
      <c r="N19" s="517" t="s">
        <v>401</v>
      </c>
      <c r="O19" s="517"/>
      <c r="P19" s="517"/>
      <c r="Q19" s="30"/>
      <c r="R19" s="517" t="s">
        <v>402</v>
      </c>
      <c r="S19" s="517"/>
      <c r="T19" s="30"/>
    </row>
    <row r="20" spans="2:20" s="14" customFormat="1" ht="15" customHeight="1" thickBot="1">
      <c r="B20" s="406"/>
      <c r="C20" s="411" t="s">
        <v>297</v>
      </c>
      <c r="D20" s="522"/>
      <c r="E20" s="406"/>
      <c r="F20" s="412" t="s">
        <v>8</v>
      </c>
      <c r="G20" s="524"/>
      <c r="H20" s="7"/>
      <c r="I20" s="520"/>
      <c r="J20" s="520"/>
      <c r="L20" s="392"/>
      <c r="M20" s="477"/>
      <c r="N20" s="518" t="s">
        <v>189</v>
      </c>
      <c r="O20" s="518"/>
      <c r="P20" s="518" t="s">
        <v>190</v>
      </c>
      <c r="Q20" s="30"/>
      <c r="R20" s="479" t="s">
        <v>189</v>
      </c>
      <c r="S20" s="518" t="s">
        <v>190</v>
      </c>
      <c r="T20" s="30"/>
    </row>
    <row r="21" spans="2:20" s="14" customFormat="1" ht="15" customHeight="1" thickBot="1">
      <c r="B21" s="415" t="s">
        <v>260</v>
      </c>
      <c r="C21" s="416">
        <f>+N22</f>
        <v>255428385</v>
      </c>
      <c r="D21" s="440">
        <v>0.39900000000000002</v>
      </c>
      <c r="E21" s="406"/>
      <c r="F21" s="19">
        <f>+R22</f>
        <v>231961337</v>
      </c>
      <c r="G21" s="440">
        <v>0.4</v>
      </c>
      <c r="H21" s="7"/>
      <c r="I21" s="8">
        <f>+C21-F21</f>
        <v>23467048</v>
      </c>
      <c r="J21" s="28"/>
      <c r="L21" s="480"/>
      <c r="M21" s="30"/>
      <c r="N21" s="517" t="s">
        <v>297</v>
      </c>
      <c r="O21" s="517"/>
      <c r="P21" s="519"/>
      <c r="Q21" s="30"/>
      <c r="R21" s="344" t="s">
        <v>297</v>
      </c>
      <c r="S21" s="519"/>
      <c r="T21" s="30"/>
    </row>
    <row r="22" spans="2:20" s="14" customFormat="1" ht="15" customHeight="1">
      <c r="B22" s="415" t="s">
        <v>261</v>
      </c>
      <c r="C22" s="416">
        <f>+N23</f>
        <v>287315456</v>
      </c>
      <c r="D22" s="440">
        <v>0.44800000000000001</v>
      </c>
      <c r="E22" s="406"/>
      <c r="F22" s="19">
        <f>+R23</f>
        <v>265582171</v>
      </c>
      <c r="G22" s="440">
        <v>0.45700000000000002</v>
      </c>
      <c r="H22" s="7"/>
      <c r="I22" s="8">
        <f>+C22-F22</f>
        <v>21733285</v>
      </c>
      <c r="J22" s="28"/>
      <c r="L22" s="480"/>
      <c r="M22" s="30" t="s">
        <v>260</v>
      </c>
      <c r="N22" s="513">
        <v>255428385</v>
      </c>
      <c r="O22" s="513"/>
      <c r="P22" s="440">
        <v>0.39900000000000002</v>
      </c>
      <c r="Q22" s="57"/>
      <c r="R22" s="19">
        <v>231961337</v>
      </c>
      <c r="S22" s="440">
        <v>0.4</v>
      </c>
      <c r="T22" s="57"/>
    </row>
    <row r="23" spans="2:20" s="14" customFormat="1" ht="15" customHeight="1">
      <c r="B23" s="415" t="s">
        <v>435</v>
      </c>
      <c r="C23" s="416">
        <f>+N24</f>
        <v>25825766</v>
      </c>
      <c r="D23" s="440">
        <v>0.04</v>
      </c>
      <c r="E23" s="406"/>
      <c r="F23" s="19">
        <f>+R24</f>
        <v>21070071</v>
      </c>
      <c r="G23" s="440">
        <v>3.5999999999999997E-2</v>
      </c>
      <c r="H23" s="7"/>
      <c r="I23" s="8">
        <f>+C23-F23</f>
        <v>4755695</v>
      </c>
      <c r="J23" s="28"/>
      <c r="L23" s="480"/>
      <c r="M23" s="30" t="s">
        <v>261</v>
      </c>
      <c r="N23" s="514">
        <v>287315456</v>
      </c>
      <c r="O23" s="514"/>
      <c r="P23" s="440">
        <v>0.44800000000000001</v>
      </c>
      <c r="Q23" s="57"/>
      <c r="R23" s="19">
        <v>265582171</v>
      </c>
      <c r="S23" s="440">
        <v>0.45700000000000002</v>
      </c>
      <c r="T23" s="57"/>
    </row>
    <row r="24" spans="2:20" s="14" customFormat="1" ht="15" customHeight="1" thickBot="1">
      <c r="B24" s="407" t="s">
        <v>436</v>
      </c>
      <c r="C24" s="439">
        <f>+N25</f>
        <v>72286247</v>
      </c>
      <c r="D24" s="441">
        <v>0.113</v>
      </c>
      <c r="E24" s="406"/>
      <c r="F24" s="439">
        <f>+R25</f>
        <v>61854475</v>
      </c>
      <c r="G24" s="441">
        <v>0.107</v>
      </c>
      <c r="H24" s="7"/>
      <c r="I24" s="8">
        <f>+C24-F24</f>
        <v>10431772</v>
      </c>
      <c r="J24" s="28"/>
      <c r="L24" s="480"/>
      <c r="M24" s="30" t="s">
        <v>435</v>
      </c>
      <c r="N24" s="514">
        <v>25825766</v>
      </c>
      <c r="O24" s="514"/>
      <c r="P24" s="440">
        <v>0.04</v>
      </c>
      <c r="Q24" s="57"/>
      <c r="R24" s="19">
        <v>21070071</v>
      </c>
      <c r="S24" s="440">
        <v>3.5999999999999997E-2</v>
      </c>
      <c r="T24" s="57"/>
    </row>
    <row r="25" spans="2:20" s="14" customFormat="1" ht="15" customHeight="1" thickTop="1" thickBot="1">
      <c r="B25" s="417" t="s">
        <v>191</v>
      </c>
      <c r="C25" s="418">
        <f>SUM(C21:C24)</f>
        <v>640855854</v>
      </c>
      <c r="D25" s="483">
        <f>SUM(D21:D24)</f>
        <v>1</v>
      </c>
      <c r="E25" s="406"/>
      <c r="F25" s="418">
        <f>SUM(F21:F24)</f>
        <v>580468054</v>
      </c>
      <c r="G25" s="483">
        <f>SUM(G21:G24)</f>
        <v>1</v>
      </c>
      <c r="H25" s="7"/>
      <c r="I25" s="27">
        <f>SUM(I21:I24)</f>
        <v>60387800</v>
      </c>
      <c r="J25" s="29"/>
      <c r="L25" s="480"/>
      <c r="M25" s="30" t="s">
        <v>436</v>
      </c>
      <c r="N25" s="515">
        <v>72286247</v>
      </c>
      <c r="O25" s="515"/>
      <c r="P25" s="441">
        <v>0.113</v>
      </c>
      <c r="Q25" s="57"/>
      <c r="R25" s="439">
        <v>61854475</v>
      </c>
      <c r="S25" s="441">
        <v>0.107</v>
      </c>
      <c r="T25" s="57"/>
    </row>
    <row r="26" spans="2:20" s="14" customFormat="1" ht="15" customHeight="1" thickTop="1">
      <c r="B26" s="419"/>
      <c r="C26" s="420"/>
      <c r="D26" s="420"/>
      <c r="E26" s="421"/>
      <c r="F26" s="420"/>
      <c r="G26" s="419"/>
      <c r="I26" s="20"/>
      <c r="L26" s="481"/>
      <c r="M26" s="516" t="s">
        <v>191</v>
      </c>
      <c r="N26" s="516"/>
      <c r="O26" s="33">
        <v>640855854</v>
      </c>
      <c r="P26" s="482">
        <v>1</v>
      </c>
      <c r="Q26" s="448"/>
      <c r="R26" s="33">
        <v>580468054</v>
      </c>
      <c r="S26" s="482">
        <v>1</v>
      </c>
      <c r="T26" s="448"/>
    </row>
    <row r="27" spans="2:20" s="14" customFormat="1" ht="15" customHeight="1" thickBot="1">
      <c r="B27" s="422" t="s">
        <v>271</v>
      </c>
      <c r="C27" s="461">
        <f>+C3</f>
        <v>45291</v>
      </c>
      <c r="D27" s="461">
        <f>+D3</f>
        <v>44926</v>
      </c>
      <c r="E27" s="412" t="s">
        <v>174</v>
      </c>
      <c r="F27" s="406"/>
      <c r="G27" s="412" t="s">
        <v>192</v>
      </c>
      <c r="H27" s="7"/>
    </row>
    <row r="28" spans="2:20" s="14" customFormat="1" ht="15" customHeight="1" thickBot="1">
      <c r="B28" s="423" t="s">
        <v>268</v>
      </c>
      <c r="C28" s="19">
        <f>+N29</f>
        <v>525972</v>
      </c>
      <c r="D28" s="19">
        <f>+O29</f>
        <v>524299</v>
      </c>
      <c r="E28" s="424">
        <f>ROUND(G28/D28,3)</f>
        <v>3.0000000000000001E-3</v>
      </c>
      <c r="F28" s="406"/>
      <c r="G28" s="425">
        <f>+C28-D28</f>
        <v>1673</v>
      </c>
      <c r="I28" s="8">
        <f t="shared" ref="I28:I35" si="2">+C28-F28</f>
        <v>525972</v>
      </c>
      <c r="M28" s="55" t="s">
        <v>437</v>
      </c>
      <c r="N28" s="344" t="s">
        <v>438</v>
      </c>
      <c r="O28" s="344" t="s">
        <v>439</v>
      </c>
      <c r="P28" s="344" t="s">
        <v>174</v>
      </c>
      <c r="Q28" s="484"/>
      <c r="R28" s="344" t="s">
        <v>192</v>
      </c>
    </row>
    <row r="29" spans="2:20" s="14" customFormat="1" ht="15" customHeight="1">
      <c r="B29" s="423" t="s">
        <v>269</v>
      </c>
      <c r="C29" s="19">
        <f t="shared" ref="C29:D31" si="3">+N30</f>
        <v>504516</v>
      </c>
      <c r="D29" s="19">
        <f t="shared" si="3"/>
        <v>503656</v>
      </c>
      <c r="E29" s="424">
        <f>ROUND(G29/D29,3)</f>
        <v>2E-3</v>
      </c>
      <c r="F29" s="406"/>
      <c r="G29" s="425">
        <f>+C29-D29</f>
        <v>860</v>
      </c>
      <c r="I29" s="8">
        <f t="shared" si="2"/>
        <v>504516</v>
      </c>
      <c r="M29" s="30" t="s">
        <v>268</v>
      </c>
      <c r="N29" s="19">
        <v>525972</v>
      </c>
      <c r="O29" s="19">
        <v>524299</v>
      </c>
      <c r="P29" s="440">
        <v>3.0000000000000001E-3</v>
      </c>
      <c r="Q29" s="57"/>
      <c r="R29" s="485">
        <v>1673</v>
      </c>
    </row>
    <row r="30" spans="2:20" s="14" customFormat="1" ht="15" customHeight="1">
      <c r="B30" s="423" t="s">
        <v>270</v>
      </c>
      <c r="C30" s="19">
        <f t="shared" si="3"/>
        <v>436814</v>
      </c>
      <c r="D30" s="19">
        <f t="shared" si="3"/>
        <v>435874</v>
      </c>
      <c r="E30" s="424">
        <f>ROUND(G30/D30,3)</f>
        <v>2E-3</v>
      </c>
      <c r="F30" s="406"/>
      <c r="G30" s="425">
        <f>+C30-D30</f>
        <v>940</v>
      </c>
      <c r="I30" s="8">
        <f t="shared" si="2"/>
        <v>436814</v>
      </c>
      <c r="M30" s="30" t="s">
        <v>440</v>
      </c>
      <c r="N30" s="19">
        <v>504516</v>
      </c>
      <c r="O30" s="19">
        <v>503656</v>
      </c>
      <c r="P30" s="440">
        <v>2E-3</v>
      </c>
      <c r="Q30" s="57"/>
      <c r="R30" s="486">
        <v>860</v>
      </c>
    </row>
    <row r="31" spans="2:20" ht="15" customHeight="1">
      <c r="B31" s="423" t="s">
        <v>223</v>
      </c>
      <c r="C31" s="19">
        <f t="shared" si="3"/>
        <v>118711</v>
      </c>
      <c r="D31" s="19">
        <f t="shared" si="3"/>
        <v>120227</v>
      </c>
      <c r="E31" s="424">
        <f>ROUND(G31/D31,3)</f>
        <v>-1.2999999999999999E-2</v>
      </c>
      <c r="F31" s="426"/>
      <c r="G31" s="425">
        <f>+C31-D31</f>
        <v>-1516</v>
      </c>
      <c r="I31" s="8">
        <f t="shared" si="2"/>
        <v>118711</v>
      </c>
      <c r="M31" s="30" t="s">
        <v>441</v>
      </c>
      <c r="N31" s="19">
        <v>436814</v>
      </c>
      <c r="O31" s="19">
        <v>435874</v>
      </c>
      <c r="P31" s="440">
        <v>2E-3</v>
      </c>
      <c r="Q31" s="57"/>
      <c r="R31" s="486">
        <v>940</v>
      </c>
    </row>
    <row r="32" spans="2:20" ht="15" customHeight="1">
      <c r="B32" s="406"/>
      <c r="C32" s="427"/>
      <c r="D32" s="427"/>
      <c r="E32" s="406"/>
      <c r="F32" s="406"/>
      <c r="G32" s="406"/>
      <c r="I32" s="8">
        <f t="shared" si="2"/>
        <v>0</v>
      </c>
      <c r="M32" s="30" t="s">
        <v>223</v>
      </c>
      <c r="N32" s="19">
        <v>118711</v>
      </c>
      <c r="O32" s="19">
        <v>120227</v>
      </c>
      <c r="P32" s="440">
        <v>-1.2999999999999999E-2</v>
      </c>
      <c r="Q32" s="57"/>
      <c r="R32" s="485">
        <v>-1516</v>
      </c>
    </row>
    <row r="33" spans="2:18" ht="15" customHeight="1" thickBot="1">
      <c r="B33" s="428" t="s">
        <v>193</v>
      </c>
      <c r="C33" s="461">
        <f>+C27</f>
        <v>45291</v>
      </c>
      <c r="D33" s="461">
        <f>+D27</f>
        <v>44926</v>
      </c>
      <c r="E33" s="412" t="s">
        <v>174</v>
      </c>
      <c r="F33" s="406"/>
      <c r="G33" s="412" t="s">
        <v>192</v>
      </c>
      <c r="I33" s="8"/>
      <c r="M33" s="484"/>
      <c r="N33" s="484"/>
      <c r="O33" s="484"/>
      <c r="P33" s="484"/>
      <c r="Q33" s="484"/>
      <c r="R33" s="484"/>
    </row>
    <row r="34" spans="2:18" ht="15" customHeight="1" thickBot="1">
      <c r="B34" s="423" t="s">
        <v>268</v>
      </c>
      <c r="C34" s="19">
        <f>+N35</f>
        <v>2306152</v>
      </c>
      <c r="D34" s="19">
        <f>+O35</f>
        <v>2257165</v>
      </c>
      <c r="E34" s="424">
        <f>ROUND(G34/D34,3)</f>
        <v>2.1999999999999999E-2</v>
      </c>
      <c r="F34" s="406"/>
      <c r="G34" s="425">
        <f>+C34-D34</f>
        <v>48987</v>
      </c>
      <c r="I34" s="8">
        <f t="shared" si="2"/>
        <v>2306152</v>
      </c>
      <c r="M34" s="55" t="s">
        <v>193</v>
      </c>
      <c r="N34" s="344" t="s">
        <v>438</v>
      </c>
      <c r="O34" s="344" t="s">
        <v>439</v>
      </c>
      <c r="P34" s="344" t="s">
        <v>174</v>
      </c>
      <c r="Q34" s="484"/>
      <c r="R34" s="344" t="s">
        <v>192</v>
      </c>
    </row>
    <row r="35" spans="2:18" ht="15" customHeight="1">
      <c r="B35" s="423" t="s">
        <v>269</v>
      </c>
      <c r="C35" s="19">
        <f>+N36</f>
        <v>2261448</v>
      </c>
      <c r="D35" s="19">
        <f>+O36</f>
        <v>2212631</v>
      </c>
      <c r="E35" s="424">
        <f>ROUND(G35/D35,3)</f>
        <v>2.1999999999999999E-2</v>
      </c>
      <c r="F35" s="406"/>
      <c r="G35" s="425">
        <f>+C35-D35</f>
        <v>48817</v>
      </c>
      <c r="I35" s="8">
        <f t="shared" si="2"/>
        <v>2261448</v>
      </c>
      <c r="M35" s="30" t="s">
        <v>268</v>
      </c>
      <c r="N35" s="19">
        <v>2306152</v>
      </c>
      <c r="O35" s="19">
        <v>2257165</v>
      </c>
      <c r="P35" s="440">
        <v>2.1999999999999999E-2</v>
      </c>
      <c r="Q35" s="57"/>
      <c r="R35" s="485">
        <v>48987</v>
      </c>
    </row>
    <row r="36" spans="2:18" ht="15" customHeight="1">
      <c r="B36" s="406"/>
      <c r="C36" s="406"/>
      <c r="D36" s="406"/>
      <c r="E36" s="406"/>
      <c r="F36" s="406"/>
      <c r="G36" s="406"/>
      <c r="M36" s="30" t="s">
        <v>269</v>
      </c>
      <c r="N36" s="19">
        <v>2261448</v>
      </c>
      <c r="O36" s="19">
        <v>2212631</v>
      </c>
      <c r="P36" s="440">
        <v>2.1999999999999999E-2</v>
      </c>
      <c r="Q36" s="57"/>
      <c r="R36" s="485">
        <v>48817</v>
      </c>
    </row>
    <row r="37" spans="2:18" ht="15" customHeight="1">
      <c r="B37" s="429" t="s">
        <v>202</v>
      </c>
      <c r="C37" s="406"/>
      <c r="D37" s="406"/>
      <c r="E37" s="406"/>
      <c r="F37" s="406"/>
      <c r="G37" s="406"/>
    </row>
    <row r="38" spans="2:18" ht="15" customHeight="1">
      <c r="B38" s="429"/>
      <c r="C38" s="406"/>
      <c r="D38" s="406"/>
      <c r="E38" s="406"/>
      <c r="F38" s="406"/>
      <c r="G38" s="406"/>
    </row>
    <row r="39" spans="2:18" ht="13.5" thickBot="1">
      <c r="B39" s="434" t="s">
        <v>368</v>
      </c>
      <c r="C39" s="461">
        <f>+C33</f>
        <v>45291</v>
      </c>
      <c r="D39" s="461">
        <f>+D33</f>
        <v>44926</v>
      </c>
      <c r="E39" s="412" t="str">
        <f>+E33</f>
        <v>% Var.</v>
      </c>
      <c r="F39" s="406"/>
      <c r="G39" s="406"/>
    </row>
    <row r="40" spans="2:18" ht="13.5" thickBot="1">
      <c r="B40" s="415" t="s">
        <v>168</v>
      </c>
      <c r="C40" s="19">
        <f>+N41</f>
        <v>22478801</v>
      </c>
      <c r="D40" s="19">
        <f>+O41</f>
        <v>20730872</v>
      </c>
      <c r="E40" s="424">
        <f>ROUND(+J40/D40,3)</f>
        <v>8.4000000000000005E-2</v>
      </c>
      <c r="F40" s="406"/>
      <c r="G40" s="406"/>
      <c r="J40" s="425">
        <f>+C40-D40</f>
        <v>1747929</v>
      </c>
      <c r="K40" s="26"/>
      <c r="M40" s="487" t="s">
        <v>368</v>
      </c>
      <c r="N40" s="488" t="s">
        <v>442</v>
      </c>
      <c r="O40" s="488" t="s">
        <v>443</v>
      </c>
      <c r="P40" s="489" t="s">
        <v>174</v>
      </c>
    </row>
    <row r="41" spans="2:18" ht="12.75">
      <c r="B41" s="415" t="s">
        <v>332</v>
      </c>
      <c r="C41" s="19">
        <f t="shared" ref="C41:D44" si="4">+N42</f>
        <v>9649213</v>
      </c>
      <c r="D41" s="19">
        <f t="shared" si="4"/>
        <v>7943754</v>
      </c>
      <c r="E41" s="424">
        <f>ROUND(+J41/D41,3)</f>
        <v>0.215</v>
      </c>
      <c r="F41" s="406"/>
      <c r="G41" s="406"/>
      <c r="J41" s="425">
        <f>+C41-D41</f>
        <v>1705459</v>
      </c>
      <c r="K41" s="26"/>
      <c r="M41" s="30" t="s">
        <v>168</v>
      </c>
      <c r="N41" s="19">
        <v>22478801</v>
      </c>
      <c r="O41" s="19">
        <v>20730872</v>
      </c>
      <c r="P41" s="440">
        <v>8.4000000000000005E-2</v>
      </c>
    </row>
    <row r="42" spans="2:18" ht="12.75">
      <c r="B42" s="415" t="s">
        <v>291</v>
      </c>
      <c r="C42" s="19">
        <f t="shared" si="4"/>
        <v>3534915</v>
      </c>
      <c r="D42" s="19">
        <f t="shared" si="4"/>
        <v>4213221</v>
      </c>
      <c r="E42" s="424">
        <f>ROUND(+J42/D42,3)</f>
        <v>-0.161</v>
      </c>
      <c r="F42" s="406"/>
      <c r="G42" s="406"/>
      <c r="J42" s="425">
        <f>+C42-D42</f>
        <v>-678306</v>
      </c>
      <c r="K42" s="26"/>
      <c r="M42" s="30" t="s">
        <v>444</v>
      </c>
      <c r="N42" s="19">
        <v>9649213</v>
      </c>
      <c r="O42" s="19">
        <v>7943754</v>
      </c>
      <c r="P42" s="440">
        <v>0.215</v>
      </c>
    </row>
    <row r="43" spans="2:18" ht="12.75">
      <c r="B43" s="415" t="s">
        <v>169</v>
      </c>
      <c r="C43" s="19">
        <f t="shared" si="4"/>
        <v>2130047</v>
      </c>
      <c r="D43" s="19">
        <f t="shared" si="4"/>
        <v>1966051</v>
      </c>
      <c r="E43" s="424">
        <f>ROUND(+J43/D43,3)</f>
        <v>8.3000000000000004E-2</v>
      </c>
      <c r="F43" s="406"/>
      <c r="G43" s="406"/>
      <c r="J43" s="425">
        <f>+C43-D43</f>
        <v>163996</v>
      </c>
      <c r="K43" s="26"/>
      <c r="M43" s="30" t="s">
        <v>445</v>
      </c>
      <c r="N43" s="19">
        <v>3534915</v>
      </c>
      <c r="O43" s="19">
        <v>4213221</v>
      </c>
      <c r="P43" s="440">
        <v>-0.161</v>
      </c>
    </row>
    <row r="44" spans="2:18" ht="12.75">
      <c r="B44" s="417" t="s">
        <v>89</v>
      </c>
      <c r="C44" s="19">
        <f t="shared" si="4"/>
        <v>37792976</v>
      </c>
      <c r="D44" s="19">
        <f t="shared" si="4"/>
        <v>34853898</v>
      </c>
      <c r="E44" s="430">
        <f>ROUND(+J44/D44,3)</f>
        <v>8.4000000000000005E-2</v>
      </c>
      <c r="F44" s="406"/>
      <c r="G44" s="406"/>
      <c r="J44" s="425">
        <f>+C44-D44</f>
        <v>2939078</v>
      </c>
      <c r="K44" s="26"/>
      <c r="M44" s="30" t="s">
        <v>169</v>
      </c>
      <c r="N44" s="19">
        <v>2130047</v>
      </c>
      <c r="O44" s="19">
        <v>1966051</v>
      </c>
      <c r="P44" s="440">
        <v>8.3000000000000004E-2</v>
      </c>
    </row>
    <row r="45" spans="2:18" ht="15" customHeight="1">
      <c r="C45" s="24"/>
      <c r="D45" s="24"/>
      <c r="M45" s="56" t="s">
        <v>446</v>
      </c>
      <c r="N45" s="33">
        <v>37792976</v>
      </c>
      <c r="O45" s="33">
        <v>34853898</v>
      </c>
      <c r="P45" s="482">
        <v>8.4000000000000005E-2</v>
      </c>
    </row>
    <row r="46" spans="2:18" ht="15" customHeight="1">
      <c r="C46" s="23"/>
      <c r="D46" s="23"/>
      <c r="G46" s="23"/>
    </row>
    <row r="48" spans="2:18" ht="15" customHeight="1">
      <c r="C48"/>
    </row>
    <row r="49" spans="2:10" ht="15" customHeight="1">
      <c r="C49" s="7">
        <v>18815084</v>
      </c>
      <c r="D49" s="7">
        <v>16323052</v>
      </c>
      <c r="J49" s="425">
        <f>+C49-D49</f>
        <v>2492032</v>
      </c>
    </row>
    <row r="50" spans="2:10" ht="15" customHeight="1">
      <c r="B50" s="4"/>
      <c r="C50" s="25"/>
    </row>
    <row r="51" spans="2:10" ht="15" customHeight="1">
      <c r="B51" s="4"/>
      <c r="C51" s="25"/>
    </row>
    <row r="52" spans="2:10" ht="15" customHeight="1">
      <c r="B52" s="4"/>
      <c r="C52" s="25"/>
    </row>
  </sheetData>
  <mergeCells count="15">
    <mergeCell ref="J19:J20"/>
    <mergeCell ref="D19:D20"/>
    <mergeCell ref="G19:G20"/>
    <mergeCell ref="I19:I20"/>
    <mergeCell ref="N19:P19"/>
    <mergeCell ref="R19:S19"/>
    <mergeCell ref="N20:O20"/>
    <mergeCell ref="P20:P21"/>
    <mergeCell ref="S20:S21"/>
    <mergeCell ref="N21:O21"/>
    <mergeCell ref="N22:O22"/>
    <mergeCell ref="N23:O23"/>
    <mergeCell ref="N24:O24"/>
    <mergeCell ref="N25:O25"/>
    <mergeCell ref="M26:N26"/>
  </mergeCells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B1:M31"/>
  <sheetViews>
    <sheetView showGridLines="0" topLeftCell="A12" workbookViewId="0">
      <selection activeCell="B19" sqref="B19:G29"/>
    </sheetView>
  </sheetViews>
  <sheetFormatPr baseColWidth="10" defaultColWidth="11.42578125" defaultRowHeight="12.75"/>
  <cols>
    <col min="1" max="1" width="11.42578125" style="7"/>
    <col min="2" max="2" width="25.28515625" style="7" bestFit="1" customWidth="1"/>
    <col min="3" max="4" width="12" style="7" bestFit="1" customWidth="1"/>
    <col min="5" max="5" width="11.42578125" style="7"/>
    <col min="6" max="6" width="5.140625" style="7" customWidth="1"/>
    <col min="7" max="9" width="11.42578125" style="7"/>
    <col min="10" max="10" width="68.28515625" style="7" bestFit="1" customWidth="1"/>
    <col min="11" max="11" width="12.28515625" style="7" bestFit="1" customWidth="1"/>
    <col min="12" max="16384" width="11.42578125" style="7"/>
  </cols>
  <sheetData>
    <row r="1" spans="2:13">
      <c r="B1" s="12" t="s">
        <v>256</v>
      </c>
    </row>
    <row r="3" spans="2:13" ht="13.5" thickBot="1">
      <c r="B3" s="55" t="s">
        <v>236</v>
      </c>
      <c r="C3" s="460">
        <f>+Resultados!C3</f>
        <v>45291</v>
      </c>
      <c r="D3" s="460">
        <f>+Resultados!D3</f>
        <v>44926</v>
      </c>
      <c r="E3" s="6" t="s">
        <v>174</v>
      </c>
      <c r="G3" s="6" t="str">
        <f>+Resultados!F3</f>
        <v>2023 / 2022</v>
      </c>
    </row>
    <row r="4" spans="2:13">
      <c r="B4" s="30" t="s">
        <v>272</v>
      </c>
      <c r="C4" s="19">
        <v>602598942</v>
      </c>
      <c r="D4" s="19">
        <v>545272804</v>
      </c>
      <c r="E4" s="9">
        <f t="shared" ref="E4:E14" si="0">ROUND(+G4/D4,3)</f>
        <v>0.105</v>
      </c>
      <c r="G4" s="8">
        <f>+C4-D4</f>
        <v>57326138</v>
      </c>
      <c r="J4" s="31"/>
      <c r="K4" s="32"/>
      <c r="L4" s="32"/>
      <c r="M4" s="32"/>
    </row>
    <row r="5" spans="2:13">
      <c r="B5" s="30" t="s">
        <v>273</v>
      </c>
      <c r="C5" s="19">
        <v>1896161</v>
      </c>
      <c r="D5" s="19">
        <v>898163</v>
      </c>
      <c r="E5" s="9">
        <f t="shared" si="0"/>
        <v>1.111</v>
      </c>
      <c r="F5" s="22"/>
      <c r="G5" s="8">
        <f t="shared" ref="G5:G14" si="1">+C5-D5</f>
        <v>997998</v>
      </c>
      <c r="J5" s="31"/>
      <c r="K5" s="32"/>
      <c r="L5" s="32"/>
      <c r="M5" s="32"/>
    </row>
    <row r="6" spans="2:13">
      <c r="B6" s="30" t="s">
        <v>263</v>
      </c>
      <c r="C6" s="8">
        <v>-295207729</v>
      </c>
      <c r="D6" s="8">
        <v>-257403965</v>
      </c>
      <c r="E6" s="9">
        <f t="shared" si="0"/>
        <v>0.14699999999999999</v>
      </c>
      <c r="G6" s="8">
        <f t="shared" si="1"/>
        <v>-37803764</v>
      </c>
      <c r="J6" s="31"/>
      <c r="K6" s="32"/>
      <c r="L6" s="32"/>
      <c r="M6" s="32"/>
    </row>
    <row r="7" spans="2:13" s="12" customFormat="1">
      <c r="B7" s="56" t="s">
        <v>184</v>
      </c>
      <c r="C7" s="346">
        <f>+SUM(C4:C6)</f>
        <v>309287374</v>
      </c>
      <c r="D7" s="346">
        <f>+SUM(D4:D6)</f>
        <v>288767002</v>
      </c>
      <c r="E7" s="11">
        <f t="shared" si="0"/>
        <v>7.0999999999999994E-2</v>
      </c>
      <c r="G7" s="10">
        <f t="shared" si="1"/>
        <v>20520372</v>
      </c>
      <c r="J7" s="34"/>
      <c r="K7" s="35"/>
      <c r="L7" s="35"/>
      <c r="M7" s="35"/>
    </row>
    <row r="8" spans="2:13">
      <c r="B8" s="30" t="s">
        <v>62</v>
      </c>
      <c r="C8" s="8">
        <v>-75423530</v>
      </c>
      <c r="D8" s="8">
        <v>-72764097</v>
      </c>
      <c r="E8" s="9">
        <f t="shared" si="0"/>
        <v>3.6999999999999998E-2</v>
      </c>
      <c r="G8" s="8">
        <f t="shared" si="1"/>
        <v>-2659433</v>
      </c>
      <c r="J8" s="31"/>
      <c r="K8" s="32"/>
      <c r="L8" s="32"/>
      <c r="M8" s="32"/>
    </row>
    <row r="9" spans="2:13" s="12" customFormat="1">
      <c r="B9" s="56" t="s">
        <v>264</v>
      </c>
      <c r="C9" s="346">
        <f>+C7+C8</f>
        <v>233863844</v>
      </c>
      <c r="D9" s="346">
        <f>+D7+D8</f>
        <v>216002905</v>
      </c>
      <c r="E9" s="11">
        <f t="shared" si="0"/>
        <v>8.3000000000000004E-2</v>
      </c>
      <c r="G9" s="10">
        <f t="shared" si="1"/>
        <v>17860939</v>
      </c>
      <c r="J9" s="34"/>
      <c r="K9" s="35"/>
      <c r="L9" s="35"/>
      <c r="M9" s="35"/>
    </row>
    <row r="10" spans="2:13">
      <c r="B10" s="30" t="s">
        <v>274</v>
      </c>
      <c r="C10" s="8">
        <v>3685254</v>
      </c>
      <c r="D10" s="8">
        <v>-1094059</v>
      </c>
      <c r="E10" s="9">
        <v>-2</v>
      </c>
      <c r="F10" s="22"/>
      <c r="G10" s="8">
        <f t="shared" si="1"/>
        <v>4779313</v>
      </c>
      <c r="J10" s="31"/>
      <c r="K10" s="32"/>
      <c r="L10" s="32"/>
      <c r="M10" s="32"/>
    </row>
    <row r="11" spans="2:13">
      <c r="B11" s="30" t="s">
        <v>266</v>
      </c>
      <c r="C11" s="8">
        <v>-76175520</v>
      </c>
      <c r="D11" s="8">
        <v>-136462604</v>
      </c>
      <c r="E11" s="9">
        <f t="shared" si="0"/>
        <v>-0.442</v>
      </c>
      <c r="G11" s="8">
        <f t="shared" si="1"/>
        <v>60287084</v>
      </c>
      <c r="J11" s="31"/>
      <c r="K11" s="32"/>
      <c r="L11" s="32"/>
      <c r="M11" s="32"/>
    </row>
    <row r="12" spans="2:13">
      <c r="B12" s="30" t="s">
        <v>222</v>
      </c>
      <c r="C12" s="8">
        <v>-32554166</v>
      </c>
      <c r="D12" s="8">
        <v>2935457</v>
      </c>
      <c r="E12" s="9">
        <f t="shared" si="0"/>
        <v>-12.09</v>
      </c>
      <c r="G12" s="8">
        <f t="shared" si="1"/>
        <v>-35489623</v>
      </c>
      <c r="J12" s="31"/>
      <c r="K12" s="32"/>
      <c r="L12" s="32"/>
      <c r="M12" s="32"/>
    </row>
    <row r="13" spans="2:13">
      <c r="B13" s="30" t="s">
        <v>327</v>
      </c>
      <c r="C13" s="8">
        <v>-1895</v>
      </c>
      <c r="D13" s="8">
        <v>-2140</v>
      </c>
      <c r="E13" s="9">
        <f t="shared" si="0"/>
        <v>-0.114</v>
      </c>
      <c r="G13" s="8">
        <f t="shared" si="1"/>
        <v>245</v>
      </c>
      <c r="J13" s="31"/>
      <c r="K13" s="32"/>
      <c r="L13" s="32"/>
      <c r="M13" s="32"/>
    </row>
    <row r="14" spans="2:13" s="12" customFormat="1">
      <c r="B14" s="56" t="s">
        <v>267</v>
      </c>
      <c r="C14" s="346">
        <f>SUM(C9:C13)</f>
        <v>128817517</v>
      </c>
      <c r="D14" s="346">
        <f>SUM(D9:D13)</f>
        <v>81379559</v>
      </c>
      <c r="E14" s="11">
        <f t="shared" si="0"/>
        <v>0.58299999999999996</v>
      </c>
      <c r="G14" s="10">
        <f t="shared" si="1"/>
        <v>47437958</v>
      </c>
      <c r="J14" s="34"/>
      <c r="K14" s="35"/>
      <c r="L14" s="35"/>
      <c r="M14" s="35"/>
    </row>
    <row r="15" spans="2:13">
      <c r="C15" s="293"/>
      <c r="D15" s="293"/>
      <c r="J15" s="31"/>
      <c r="M15" s="32"/>
    </row>
    <row r="16" spans="2:13">
      <c r="C16" s="32"/>
      <c r="D16" s="32"/>
      <c r="J16" s="31"/>
    </row>
    <row r="17" spans="2:10">
      <c r="B17" s="12" t="s">
        <v>257</v>
      </c>
      <c r="J17" s="31"/>
    </row>
    <row r="18" spans="2:10">
      <c r="J18" s="31"/>
    </row>
    <row r="19" spans="2:10" ht="13.5" thickBot="1">
      <c r="B19" s="55" t="s">
        <v>236</v>
      </c>
      <c r="C19" s="460">
        <f>+C3</f>
        <v>45291</v>
      </c>
      <c r="D19" s="460">
        <f>+D3</f>
        <v>44926</v>
      </c>
      <c r="E19" s="6" t="s">
        <v>174</v>
      </c>
      <c r="G19" s="6" t="str">
        <f>+G3</f>
        <v>2023 / 2022</v>
      </c>
    </row>
    <row r="20" spans="2:10">
      <c r="B20" s="30" t="s">
        <v>272</v>
      </c>
      <c r="C20" s="8">
        <v>38256912</v>
      </c>
      <c r="D20" s="8">
        <v>35195250</v>
      </c>
      <c r="E20" s="9">
        <f t="shared" ref="E20:E29" si="2">ROUND(+G20/D20,3)</f>
        <v>8.6999999999999994E-2</v>
      </c>
      <c r="F20" s="8"/>
      <c r="G20" s="8">
        <f>+C20-D20</f>
        <v>3061662</v>
      </c>
    </row>
    <row r="21" spans="2:10">
      <c r="B21" s="30" t="s">
        <v>273</v>
      </c>
      <c r="C21" s="8">
        <v>11790101</v>
      </c>
      <c r="D21" s="8">
        <v>6002529</v>
      </c>
      <c r="E21" s="9">
        <f t="shared" si="2"/>
        <v>0.96399999999999997</v>
      </c>
      <c r="F21" s="8"/>
      <c r="G21" s="8">
        <f t="shared" ref="G21:G29" si="3">+C21-D21</f>
        <v>5787572</v>
      </c>
    </row>
    <row r="22" spans="2:10">
      <c r="B22" s="30" t="s">
        <v>263</v>
      </c>
      <c r="C22" s="8">
        <v>-41046449</v>
      </c>
      <c r="D22" s="8">
        <v>-34200667</v>
      </c>
      <c r="E22" s="9">
        <f t="shared" si="2"/>
        <v>0.2</v>
      </c>
      <c r="F22" s="8"/>
      <c r="G22" s="8">
        <f t="shared" si="3"/>
        <v>-6845782</v>
      </c>
    </row>
    <row r="23" spans="2:10">
      <c r="B23" s="56" t="s">
        <v>184</v>
      </c>
      <c r="C23" s="10">
        <f>SUM(C20:C22)</f>
        <v>9000564</v>
      </c>
      <c r="D23" s="10">
        <f>SUM(D20:D22)</f>
        <v>6997112</v>
      </c>
      <c r="E23" s="11">
        <f t="shared" si="2"/>
        <v>0.28599999999999998</v>
      </c>
      <c r="F23" s="10"/>
      <c r="G23" s="10">
        <f t="shared" si="3"/>
        <v>2003452</v>
      </c>
    </row>
    <row r="24" spans="2:10">
      <c r="B24" s="30" t="s">
        <v>62</v>
      </c>
      <c r="C24" s="8">
        <v>-2310091</v>
      </c>
      <c r="D24" s="8">
        <v>-2091863</v>
      </c>
      <c r="E24" s="9">
        <f t="shared" si="2"/>
        <v>0.104</v>
      </c>
      <c r="F24" s="8"/>
      <c r="G24" s="8">
        <f t="shared" si="3"/>
        <v>-218228</v>
      </c>
      <c r="I24" s="8"/>
    </row>
    <row r="25" spans="2:10">
      <c r="B25" s="56" t="s">
        <v>264</v>
      </c>
      <c r="C25" s="10">
        <f>C23+C24</f>
        <v>6690473</v>
      </c>
      <c r="D25" s="10">
        <f>D23+D24</f>
        <v>4905249</v>
      </c>
      <c r="E25" s="11">
        <f t="shared" si="2"/>
        <v>0.36399999999999999</v>
      </c>
      <c r="F25" s="10"/>
      <c r="G25" s="10">
        <f t="shared" si="3"/>
        <v>1785224</v>
      </c>
    </row>
    <row r="26" spans="2:10">
      <c r="B26" s="30" t="s">
        <v>274</v>
      </c>
      <c r="C26" s="8">
        <v>-304432</v>
      </c>
      <c r="D26" s="8">
        <v>-383505</v>
      </c>
      <c r="E26" s="9">
        <f t="shared" si="2"/>
        <v>-0.20599999999999999</v>
      </c>
      <c r="F26" s="8"/>
      <c r="G26" s="8">
        <f t="shared" si="3"/>
        <v>79073</v>
      </c>
    </row>
    <row r="27" spans="2:10">
      <c r="B27" s="30" t="s">
        <v>266</v>
      </c>
      <c r="C27" s="8">
        <v>-458066</v>
      </c>
      <c r="D27" s="8">
        <v>-295495</v>
      </c>
      <c r="E27" s="9">
        <f t="shared" si="2"/>
        <v>0.55000000000000004</v>
      </c>
      <c r="F27" s="8"/>
      <c r="G27" s="8">
        <f t="shared" si="3"/>
        <v>-162571</v>
      </c>
    </row>
    <row r="28" spans="2:10">
      <c r="B28" s="30" t="s">
        <v>222</v>
      </c>
      <c r="C28" s="8">
        <v>-1355071</v>
      </c>
      <c r="D28" s="8">
        <v>-357074</v>
      </c>
      <c r="E28" s="9">
        <f t="shared" si="2"/>
        <v>2.7949999999999999</v>
      </c>
      <c r="F28" s="8"/>
      <c r="G28" s="8">
        <f t="shared" si="3"/>
        <v>-997997</v>
      </c>
    </row>
    <row r="29" spans="2:10">
      <c r="B29" s="56" t="s">
        <v>267</v>
      </c>
      <c r="C29" s="8">
        <f>SUM(C25:C28)</f>
        <v>4572904</v>
      </c>
      <c r="D29" s="8">
        <f>SUM(D25:D28)</f>
        <v>3869175</v>
      </c>
      <c r="E29" s="9">
        <f t="shared" si="2"/>
        <v>0.182</v>
      </c>
      <c r="F29" s="8"/>
      <c r="G29" s="8">
        <f t="shared" si="3"/>
        <v>703729</v>
      </c>
    </row>
    <row r="31" spans="2:10">
      <c r="C31" s="36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N28"/>
  <sheetViews>
    <sheetView showGridLines="0" workbookViewId="0">
      <selection activeCell="D7" sqref="D7"/>
    </sheetView>
  </sheetViews>
  <sheetFormatPr baseColWidth="10" defaultColWidth="11.42578125" defaultRowHeight="15" customHeight="1"/>
  <cols>
    <col min="1" max="1" width="4" style="37" customWidth="1"/>
    <col min="2" max="2" width="25.28515625" style="37" bestFit="1" customWidth="1"/>
    <col min="3" max="16384" width="11.42578125" style="37"/>
  </cols>
  <sheetData>
    <row r="1" spans="1:14" ht="15" customHeight="1">
      <c r="A1" s="36" t="s">
        <v>200</v>
      </c>
    </row>
    <row r="3" spans="1:14" ht="15" customHeight="1" thickBot="1">
      <c r="B3" s="21" t="s">
        <v>236</v>
      </c>
      <c r="C3" s="6" t="s">
        <v>328</v>
      </c>
      <c r="D3" s="6" t="s">
        <v>323</v>
      </c>
      <c r="E3" s="6" t="s">
        <v>174</v>
      </c>
      <c r="F3" s="7"/>
      <c r="G3" s="6" t="s">
        <v>324</v>
      </c>
    </row>
    <row r="4" spans="1:14" ht="15" customHeight="1">
      <c r="B4" s="4" t="s">
        <v>170</v>
      </c>
      <c r="C4" s="345">
        <v>129721186</v>
      </c>
      <c r="D4" s="345">
        <v>129721186</v>
      </c>
      <c r="E4" s="9">
        <f>+ROUND(G4/D4,3)</f>
        <v>0</v>
      </c>
      <c r="F4" s="7"/>
      <c r="G4" s="8">
        <f>+C4-D4</f>
        <v>0</v>
      </c>
    </row>
    <row r="5" spans="1:14" s="38" customFormat="1" ht="15" customHeight="1">
      <c r="B5" s="4" t="s">
        <v>183</v>
      </c>
      <c r="C5" s="345">
        <v>-77210262</v>
      </c>
      <c r="D5" s="345">
        <v>-77210262</v>
      </c>
      <c r="E5" s="9">
        <f t="shared" ref="E5:E14" si="0">+ROUND(G5/D5,3)</f>
        <v>0</v>
      </c>
      <c r="F5" s="7"/>
      <c r="G5" s="8">
        <f t="shared" ref="G5:G14" si="1">+C5-D5</f>
        <v>0</v>
      </c>
    </row>
    <row r="6" spans="1:14" s="38" customFormat="1" ht="15" customHeight="1">
      <c r="B6" s="5" t="s">
        <v>184</v>
      </c>
      <c r="C6" s="369">
        <f>SUM(C4:C5)</f>
        <v>52510924</v>
      </c>
      <c r="D6" s="369">
        <f>SUM(D4:D5)</f>
        <v>52510924</v>
      </c>
      <c r="E6" s="11">
        <f t="shared" si="0"/>
        <v>0</v>
      </c>
      <c r="F6" s="12"/>
      <c r="G6" s="10">
        <f t="shared" si="1"/>
        <v>0</v>
      </c>
    </row>
    <row r="7" spans="1:14" s="38" customFormat="1" ht="15" customHeight="1">
      <c r="B7" s="4" t="s">
        <v>185</v>
      </c>
      <c r="C7" s="345">
        <v>-17417464</v>
      </c>
      <c r="D7" s="345">
        <v>-17417464</v>
      </c>
      <c r="E7" s="9">
        <f t="shared" si="0"/>
        <v>0</v>
      </c>
      <c r="F7" s="7"/>
      <c r="G7" s="8">
        <f t="shared" si="1"/>
        <v>0</v>
      </c>
      <c r="L7" s="25"/>
      <c r="M7" s="25"/>
      <c r="N7" s="39"/>
    </row>
    <row r="8" spans="1:14" s="38" customFormat="1" ht="15" customHeight="1">
      <c r="B8" s="5" t="s">
        <v>186</v>
      </c>
      <c r="C8" s="369">
        <f>+C6+C7</f>
        <v>35093460</v>
      </c>
      <c r="D8" s="369">
        <f>+D6+D7</f>
        <v>35093460</v>
      </c>
      <c r="E8" s="11">
        <f t="shared" si="0"/>
        <v>0</v>
      </c>
      <c r="F8" s="12"/>
      <c r="G8" s="10">
        <f t="shared" si="1"/>
        <v>0</v>
      </c>
    </row>
    <row r="9" spans="1:14" s="38" customFormat="1" ht="15" customHeight="1">
      <c r="B9" s="4" t="s">
        <v>287</v>
      </c>
      <c r="C9" s="345">
        <v>-2093189</v>
      </c>
      <c r="D9" s="345">
        <v>-2093189</v>
      </c>
      <c r="E9" s="9">
        <f t="shared" si="0"/>
        <v>0</v>
      </c>
      <c r="F9" s="57"/>
      <c r="G9" s="8">
        <f t="shared" si="1"/>
        <v>0</v>
      </c>
    </row>
    <row r="10" spans="1:14" s="38" customFormat="1" ht="15" customHeight="1">
      <c r="B10" s="4" t="s">
        <v>322</v>
      </c>
      <c r="C10" s="345">
        <v>-34520</v>
      </c>
      <c r="D10" s="345">
        <v>-34520</v>
      </c>
      <c r="E10" s="9" t="s">
        <v>320</v>
      </c>
      <c r="F10" s="57"/>
      <c r="G10" s="8">
        <f t="shared" si="1"/>
        <v>0</v>
      </c>
    </row>
    <row r="11" spans="1:14" s="38" customFormat="1" ht="15" customHeight="1">
      <c r="B11" s="4" t="s">
        <v>187</v>
      </c>
      <c r="C11" s="345">
        <v>-14939258</v>
      </c>
      <c r="D11" s="345">
        <v>-14939258</v>
      </c>
      <c r="E11" s="9">
        <f t="shared" si="0"/>
        <v>0</v>
      </c>
      <c r="F11" s="7"/>
      <c r="G11" s="8">
        <f t="shared" si="1"/>
        <v>0</v>
      </c>
    </row>
    <row r="12" spans="1:14" s="38" customFormat="1" ht="15" customHeight="1">
      <c r="B12" s="4" t="s">
        <v>222</v>
      </c>
      <c r="C12" s="345">
        <v>-2523215</v>
      </c>
      <c r="D12" s="345">
        <v>-2523215</v>
      </c>
      <c r="E12" s="9">
        <f t="shared" si="0"/>
        <v>0</v>
      </c>
      <c r="F12" s="7"/>
      <c r="G12" s="8">
        <f t="shared" si="1"/>
        <v>0</v>
      </c>
    </row>
    <row r="13" spans="1:14" s="38" customFormat="1" ht="15" customHeight="1">
      <c r="B13" s="4" t="s">
        <v>316</v>
      </c>
      <c r="C13" s="345">
        <v>7324842</v>
      </c>
      <c r="D13" s="345">
        <v>7324842</v>
      </c>
      <c r="E13" s="9">
        <f t="shared" si="0"/>
        <v>0</v>
      </c>
      <c r="F13" s="7"/>
      <c r="G13" s="8">
        <f t="shared" si="1"/>
        <v>0</v>
      </c>
    </row>
    <row r="14" spans="1:14" s="38" customFormat="1" ht="15" customHeight="1">
      <c r="B14" s="5" t="s">
        <v>188</v>
      </c>
      <c r="C14" s="346">
        <v>26175218</v>
      </c>
      <c r="D14" s="346">
        <v>37817198</v>
      </c>
      <c r="E14" s="11">
        <f t="shared" si="0"/>
        <v>-0.308</v>
      </c>
      <c r="F14" s="12"/>
      <c r="G14" s="10">
        <f t="shared" si="1"/>
        <v>-11641980</v>
      </c>
    </row>
    <row r="15" spans="1:14" s="38" customFormat="1" ht="15" customHeight="1">
      <c r="C15" s="33"/>
    </row>
    <row r="16" spans="1:14" s="38" customFormat="1" ht="15" customHeight="1"/>
    <row r="17" s="38" customFormat="1" ht="15" customHeight="1"/>
    <row r="18" s="38" customFormat="1" ht="15" customHeight="1"/>
    <row r="19" s="38" customFormat="1" ht="15" customHeight="1"/>
    <row r="20" s="38" customFormat="1" ht="15" customHeight="1"/>
    <row r="21" s="38" customFormat="1" ht="15" customHeight="1"/>
    <row r="22" s="38" customFormat="1" ht="15" customHeight="1"/>
    <row r="23" s="38" customFormat="1" ht="15" customHeight="1"/>
    <row r="24" s="38" customFormat="1" ht="15" customHeight="1"/>
    <row r="25" s="38" customFormat="1" ht="15" customHeight="1"/>
    <row r="26" s="38" customFormat="1" ht="15" customHeight="1"/>
    <row r="27" s="38" customFormat="1" ht="15" customHeight="1"/>
    <row r="28" s="38" customFormat="1" ht="15" customHeight="1"/>
  </sheetData>
  <pageMargins left="0.74803149606299213" right="0.74803149606299213" top="0.98425196850393704" bottom="0.98425196850393704" header="0" footer="0"/>
  <pageSetup scale="22" orientation="portrait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20D7-B7B3-4DEE-ACA9-BC7333EC04CA}">
  <dimension ref="A1:N38"/>
  <sheetViews>
    <sheetView showGridLines="0" workbookViewId="0">
      <selection activeCell="B3" sqref="B3:G14"/>
    </sheetView>
  </sheetViews>
  <sheetFormatPr baseColWidth="10" defaultColWidth="11.42578125" defaultRowHeight="12.75"/>
  <cols>
    <col min="1" max="1" width="4" style="37" customWidth="1"/>
    <col min="2" max="2" width="25.28515625" style="37" bestFit="1" customWidth="1"/>
    <col min="3" max="5" width="11.42578125" style="37"/>
    <col min="6" max="6" width="4.5703125" style="37" customWidth="1"/>
    <col min="7" max="16384" width="11.42578125" style="37"/>
  </cols>
  <sheetData>
    <row r="1" spans="1:14" ht="15" customHeight="1">
      <c r="A1" s="36" t="s">
        <v>200</v>
      </c>
    </row>
    <row r="3" spans="1:14" ht="13.5" thickBot="1">
      <c r="B3" s="2" t="s">
        <v>236</v>
      </c>
      <c r="C3" s="344" t="s">
        <v>450</v>
      </c>
      <c r="D3" s="344" t="s">
        <v>449</v>
      </c>
      <c r="E3" s="389" t="s">
        <v>174</v>
      </c>
      <c r="F3" s="344"/>
      <c r="G3" s="344" t="s">
        <v>451</v>
      </c>
    </row>
    <row r="4" spans="1:14" ht="15" customHeight="1">
      <c r="B4" s="4" t="s">
        <v>170</v>
      </c>
      <c r="C4" s="345">
        <f>+Resultado!I5</f>
        <v>165620335</v>
      </c>
      <c r="D4" s="345">
        <f>+Resultado!J5</f>
        <v>161722552</v>
      </c>
      <c r="E4" s="9">
        <f>+ROUND(G4/D4,3)</f>
        <v>2.4E-2</v>
      </c>
      <c r="F4" s="7"/>
      <c r="G4" s="8">
        <f>+C4-D4</f>
        <v>3897783</v>
      </c>
      <c r="H4" s="490"/>
      <c r="I4" s="491"/>
    </row>
    <row r="5" spans="1:14" s="38" customFormat="1" ht="15" customHeight="1">
      <c r="B5" s="4" t="s">
        <v>183</v>
      </c>
      <c r="C5" s="345">
        <f>+Resultado!I6+Resultado!I7+Resultado!I10+Resultado!I15</f>
        <v>-78700582</v>
      </c>
      <c r="D5" s="345">
        <f>+Resultado!J6+Resultado!J7+Resultado!J10+Resultado!J15</f>
        <v>-78088969</v>
      </c>
      <c r="E5" s="9">
        <f t="shared" ref="E5:E13" si="0">+ROUND(G5/D5,3)</f>
        <v>8.0000000000000002E-3</v>
      </c>
      <c r="F5" s="7"/>
      <c r="G5" s="8">
        <f t="shared" ref="G5:G13" si="1">+C5-D5</f>
        <v>-611613</v>
      </c>
      <c r="H5" s="490"/>
      <c r="I5" s="491"/>
    </row>
    <row r="6" spans="1:14" s="38" customFormat="1" ht="15" customHeight="1">
      <c r="B6" s="5" t="s">
        <v>184</v>
      </c>
      <c r="C6" s="369">
        <f>+C4+C5</f>
        <v>86919753</v>
      </c>
      <c r="D6" s="369">
        <f>+D4+D5</f>
        <v>83633583</v>
      </c>
      <c r="E6" s="11">
        <f t="shared" si="0"/>
        <v>3.9E-2</v>
      </c>
      <c r="F6" s="12"/>
      <c r="G6" s="10">
        <f t="shared" si="1"/>
        <v>3286170</v>
      </c>
      <c r="H6" s="490"/>
      <c r="I6" s="491"/>
    </row>
    <row r="7" spans="1:14" s="38" customFormat="1" ht="15" customHeight="1">
      <c r="B7" s="4" t="s">
        <v>185</v>
      </c>
      <c r="C7" s="345">
        <f>+Resultado!I8</f>
        <v>-21122863</v>
      </c>
      <c r="D7" s="345">
        <f>+Resultado!J8</f>
        <v>-19346616</v>
      </c>
      <c r="E7" s="9">
        <f t="shared" si="0"/>
        <v>9.1999999999999998E-2</v>
      </c>
      <c r="F7" s="7"/>
      <c r="G7" s="8">
        <f t="shared" si="1"/>
        <v>-1776247</v>
      </c>
      <c r="L7" s="25"/>
      <c r="M7" s="25"/>
      <c r="N7" s="39"/>
    </row>
    <row r="8" spans="1:14" s="38" customFormat="1" ht="15" customHeight="1">
      <c r="B8" s="5" t="s">
        <v>186</v>
      </c>
      <c r="C8" s="369">
        <f>+C7+C6</f>
        <v>65796890</v>
      </c>
      <c r="D8" s="369">
        <f>+D7+D6</f>
        <v>64286967</v>
      </c>
      <c r="E8" s="11">
        <f t="shared" si="0"/>
        <v>2.3E-2</v>
      </c>
      <c r="F8" s="12"/>
      <c r="G8" s="10">
        <f t="shared" si="1"/>
        <v>1509923</v>
      </c>
    </row>
    <row r="9" spans="1:14" s="38" customFormat="1" ht="15" customHeight="1">
      <c r="B9" s="4" t="s">
        <v>287</v>
      </c>
      <c r="C9" s="345">
        <f>+Resultado!I11</f>
        <v>5110669</v>
      </c>
      <c r="D9" s="345">
        <f>+Resultado!J11</f>
        <v>-40685</v>
      </c>
      <c r="E9" s="360" t="s">
        <v>384</v>
      </c>
      <c r="F9" s="57"/>
      <c r="G9" s="8">
        <f t="shared" si="1"/>
        <v>5151354</v>
      </c>
    </row>
    <row r="10" spans="1:14" s="38" customFormat="1" ht="15" customHeight="1">
      <c r="B10" s="4" t="s">
        <v>187</v>
      </c>
      <c r="C10" s="345">
        <f>+Resultado!I13+Resultado!I14+Resultado!I16+Resultado!I17</f>
        <v>-25460330</v>
      </c>
      <c r="D10" s="345">
        <f>+Resultado!J13+Resultado!J14+Resultado!J16+Resultado!J17</f>
        <v>-27600176</v>
      </c>
      <c r="E10" s="9">
        <f t="shared" si="0"/>
        <v>-7.8E-2</v>
      </c>
      <c r="F10" s="7"/>
      <c r="G10" s="8">
        <f t="shared" si="1"/>
        <v>2139846</v>
      </c>
      <c r="H10" s="490"/>
      <c r="I10" s="492"/>
    </row>
    <row r="11" spans="1:14" s="38" customFormat="1" ht="15" customHeight="1">
      <c r="B11" s="4" t="s">
        <v>222</v>
      </c>
      <c r="C11" s="345">
        <f>+Resultado!I20</f>
        <v>-8754383</v>
      </c>
      <c r="D11" s="345">
        <f>+Resultado!J20</f>
        <v>-6205024</v>
      </c>
      <c r="E11" s="9">
        <f t="shared" si="0"/>
        <v>0.41099999999999998</v>
      </c>
      <c r="F11" s="7"/>
      <c r="G11" s="8">
        <f t="shared" si="1"/>
        <v>-2549359</v>
      </c>
      <c r="H11" s="490"/>
    </row>
    <row r="12" spans="1:14" s="38" customFormat="1" ht="15" customHeight="1">
      <c r="B12" s="4" t="s">
        <v>359</v>
      </c>
      <c r="C12" s="345">
        <f>-Resultado!I27</f>
        <v>-18416897</v>
      </c>
      <c r="D12" s="345">
        <f>-Resultado!J27</f>
        <v>-15378005</v>
      </c>
      <c r="E12" s="9">
        <f t="shared" si="0"/>
        <v>0.19800000000000001</v>
      </c>
      <c r="F12" s="7"/>
      <c r="G12" s="8">
        <f t="shared" si="1"/>
        <v>-3038892</v>
      </c>
      <c r="H12" s="490"/>
    </row>
    <row r="13" spans="1:14" s="38" customFormat="1" ht="15" customHeight="1">
      <c r="B13" s="5" t="s">
        <v>188</v>
      </c>
      <c r="C13" s="346">
        <f>SUM(C8:C12)</f>
        <v>18275949</v>
      </c>
      <c r="D13" s="346">
        <f>SUM(D8:D12)</f>
        <v>15063077</v>
      </c>
      <c r="E13" s="11">
        <f t="shared" si="0"/>
        <v>0.21299999999999999</v>
      </c>
      <c r="F13" s="12"/>
      <c r="G13" s="10">
        <f t="shared" si="1"/>
        <v>3212872</v>
      </c>
    </row>
    <row r="14" spans="1:14" s="38" customFormat="1" ht="15" customHeight="1">
      <c r="B14" s="432" t="s">
        <v>366</v>
      </c>
      <c r="C14" s="33"/>
    </row>
    <row r="15" spans="1:14" s="38" customFormat="1" ht="15" customHeight="1">
      <c r="C15" s="39"/>
      <c r="D15" s="490"/>
    </row>
    <row r="16" spans="1:14" s="38" customFormat="1" ht="15" customHeight="1">
      <c r="C16" s="492"/>
    </row>
    <row r="17" s="38" customFormat="1" ht="15" customHeight="1"/>
    <row r="18" s="38" customFormat="1" ht="15" customHeight="1"/>
    <row r="19" s="38" customFormat="1" ht="15" customHeight="1"/>
    <row r="20" s="38" customFormat="1" ht="15" customHeight="1"/>
    <row r="21" s="38" customFormat="1" ht="15" customHeight="1"/>
    <row r="22" s="38" customFormat="1" ht="15" customHeight="1"/>
    <row r="23" s="38" customFormat="1" ht="15" customHeight="1"/>
    <row r="24" s="38" customFormat="1" ht="15" customHeight="1"/>
    <row r="25" s="38" customFormat="1" ht="15" customHeight="1"/>
    <row r="26" s="38" customFormat="1" ht="15" customHeight="1"/>
    <row r="27" s="38" customFormat="1" ht="15" customHeight="1"/>
    <row r="38" ht="15" customHeight="1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 tint="-0.14999847407452621"/>
    <pageSetUpPr fitToPage="1"/>
  </sheetPr>
  <dimension ref="B3:G30"/>
  <sheetViews>
    <sheetView showGridLines="0" workbookViewId="0">
      <selection activeCell="B3" sqref="B3:E15"/>
    </sheetView>
  </sheetViews>
  <sheetFormatPr baseColWidth="10" defaultColWidth="11.42578125" defaultRowHeight="15" customHeight="1"/>
  <cols>
    <col min="1" max="1" width="3.85546875" style="7" customWidth="1"/>
    <col min="2" max="2" width="49.42578125" style="7" customWidth="1"/>
    <col min="3" max="3" width="12" style="7" bestFit="1" customWidth="1"/>
    <col min="4" max="4" width="13.7109375" style="7" customWidth="1"/>
    <col min="5" max="5" width="9.28515625" style="7" customWidth="1"/>
    <col min="6" max="16384" width="11.42578125" style="7"/>
  </cols>
  <sheetData>
    <row r="3" spans="2:7" ht="15" customHeight="1" thickBot="1">
      <c r="B3" s="18" t="s">
        <v>175</v>
      </c>
      <c r="C3" s="6" t="s">
        <v>403</v>
      </c>
      <c r="D3" s="6" t="s">
        <v>340</v>
      </c>
      <c r="E3" s="18" t="s">
        <v>174</v>
      </c>
    </row>
    <row r="4" spans="2:7" ht="12.75" customHeight="1">
      <c r="B4" s="4" t="s">
        <v>2</v>
      </c>
      <c r="C4" s="361">
        <f>ROUND(Balance!D15,0)</f>
        <v>276781050</v>
      </c>
      <c r="D4" s="361">
        <f>ROUND(Balance!E15,0)</f>
        <v>326058264</v>
      </c>
      <c r="E4" s="9">
        <f>ROUND((C4/D4)-1,3)</f>
        <v>-0.151</v>
      </c>
      <c r="G4" s="26">
        <f>+C4-D4</f>
        <v>-49277214</v>
      </c>
    </row>
    <row r="5" spans="2:7" ht="12.75" customHeight="1">
      <c r="B5" s="4" t="s">
        <v>3</v>
      </c>
      <c r="C5" s="361">
        <f>ROUND(Balance!D26,0)</f>
        <v>2419695021</v>
      </c>
      <c r="D5" s="361">
        <f>ROUND(Balance!E26,0)</f>
        <v>2325871931</v>
      </c>
      <c r="E5" s="9">
        <f>ROUND((C5/D5)-1,3)</f>
        <v>0.04</v>
      </c>
      <c r="G5" s="26">
        <f t="shared" ref="G5:G15" si="0">+C5-D5</f>
        <v>93823090</v>
      </c>
    </row>
    <row r="6" spans="2:7" ht="12.75" customHeight="1">
      <c r="B6" s="5" t="s">
        <v>72</v>
      </c>
      <c r="C6" s="362">
        <f>SUM(C4:C5)</f>
        <v>2696476071</v>
      </c>
      <c r="D6" s="362">
        <f>SUM(D4:D5)</f>
        <v>2651930195</v>
      </c>
      <c r="E6" s="11">
        <f>ROUND((C6/D6)-1,3)</f>
        <v>1.7000000000000001E-2</v>
      </c>
      <c r="G6" s="26">
        <f>+C6-D6</f>
        <v>44545876</v>
      </c>
    </row>
    <row r="7" spans="2:7" ht="12.75" customHeight="1">
      <c r="B7" s="18" t="s">
        <v>205</v>
      </c>
      <c r="C7" s="363"/>
      <c r="D7" s="363"/>
      <c r="E7" s="40"/>
      <c r="G7" s="26">
        <f t="shared" si="0"/>
        <v>0</v>
      </c>
    </row>
    <row r="8" spans="2:7" ht="12.75" customHeight="1">
      <c r="B8" s="4" t="s">
        <v>0</v>
      </c>
      <c r="C8" s="361">
        <f>ROUND(+Balance!D42,0)</f>
        <v>362634346</v>
      </c>
      <c r="D8" s="361">
        <f>ROUND(+Balance!E42,0)</f>
        <v>266626154</v>
      </c>
      <c r="E8" s="9">
        <f>ROUND((C8/D8)-1,3)</f>
        <v>0.36</v>
      </c>
      <c r="G8" s="26">
        <f t="shared" si="0"/>
        <v>96008192</v>
      </c>
    </row>
    <row r="9" spans="2:7" ht="12.75" customHeight="1">
      <c r="B9" s="4" t="s">
        <v>1</v>
      </c>
      <c r="C9" s="361">
        <f>ROUND(+Balance!D54,0)</f>
        <v>1175813467</v>
      </c>
      <c r="D9" s="361">
        <f>ROUND(+Balance!E54,0)</f>
        <v>1274907748</v>
      </c>
      <c r="E9" s="9">
        <f>ROUND((C9/D9)-1,3)</f>
        <v>-7.8E-2</v>
      </c>
      <c r="G9" s="26">
        <f t="shared" si="0"/>
        <v>-99094281</v>
      </c>
    </row>
    <row r="10" spans="2:7" ht="12.75" customHeight="1">
      <c r="B10" s="5" t="s">
        <v>73</v>
      </c>
      <c r="C10" s="362">
        <f>SUM(C8:C9)</f>
        <v>1538447813</v>
      </c>
      <c r="D10" s="362">
        <f>SUM(D8:D9)</f>
        <v>1541533902</v>
      </c>
      <c r="E10" s="11">
        <f>ROUND((C10/D10)-1,3)</f>
        <v>-2E-3</v>
      </c>
      <c r="G10" s="26">
        <f t="shared" si="0"/>
        <v>-3086089</v>
      </c>
    </row>
    <row r="11" spans="2:7" ht="12.75" customHeight="1">
      <c r="C11" s="363"/>
      <c r="D11" s="363"/>
      <c r="E11" s="40"/>
      <c r="G11" s="26">
        <f t="shared" si="0"/>
        <v>0</v>
      </c>
    </row>
    <row r="12" spans="2:7" ht="12.75" customHeight="1">
      <c r="B12" s="4" t="s">
        <v>94</v>
      </c>
      <c r="C12" s="361">
        <f>ROUND(+Balance!D63,0)</f>
        <v>715849689</v>
      </c>
      <c r="D12" s="361">
        <f>ROUND(+Balance!E63,0)</f>
        <v>691794448</v>
      </c>
      <c r="E12" s="9">
        <f>ROUND((C12/D12)-1,3)</f>
        <v>3.5000000000000003E-2</v>
      </c>
      <c r="G12" s="26">
        <f t="shared" si="0"/>
        <v>24055241</v>
      </c>
    </row>
    <row r="13" spans="2:7" ht="12.75" customHeight="1">
      <c r="B13" s="4" t="s">
        <v>95</v>
      </c>
      <c r="C13" s="361">
        <f>ROUND(+Balance!D64,0)</f>
        <v>442178569</v>
      </c>
      <c r="D13" s="361">
        <f>ROUND(+Balance!E64,0)</f>
        <v>418601845</v>
      </c>
      <c r="E13" s="9">
        <f>ROUND((C13/D13)-1,3)</f>
        <v>5.6000000000000001E-2</v>
      </c>
      <c r="G13" s="26">
        <f t="shared" si="0"/>
        <v>23576724</v>
      </c>
    </row>
    <row r="14" spans="2:7" ht="12.75" customHeight="1">
      <c r="B14" s="5" t="s">
        <v>203</v>
      </c>
      <c r="C14" s="362">
        <f>+C13+C12</f>
        <v>1158028258</v>
      </c>
      <c r="D14" s="362">
        <f>+D13+D12</f>
        <v>1110396293</v>
      </c>
      <c r="E14" s="11">
        <f>ROUND((C14/D14)-1,3)</f>
        <v>4.2999999999999997E-2</v>
      </c>
      <c r="G14" s="26">
        <f t="shared" si="0"/>
        <v>47631965</v>
      </c>
    </row>
    <row r="15" spans="2:7" ht="12.75" customHeight="1">
      <c r="B15" s="5" t="s">
        <v>176</v>
      </c>
      <c r="C15" s="362">
        <f>+C14+C10</f>
        <v>2696476071</v>
      </c>
      <c r="D15" s="362">
        <f>+D14+D10</f>
        <v>2651930195</v>
      </c>
      <c r="E15" s="11">
        <f>ROUND((C15/D15)-1,3)</f>
        <v>1.7000000000000001E-2</v>
      </c>
      <c r="G15" s="26">
        <f t="shared" si="0"/>
        <v>44545876</v>
      </c>
    </row>
    <row r="17" spans="2:5" ht="15" customHeight="1">
      <c r="C17" s="354">
        <f>+C6-C15</f>
        <v>0</v>
      </c>
      <c r="D17" s="354">
        <f>+D6-D15</f>
        <v>0</v>
      </c>
    </row>
    <row r="20" spans="2:5" ht="15" customHeight="1" thickBot="1">
      <c r="B20" s="428" t="s">
        <v>237</v>
      </c>
      <c r="C20" s="412"/>
      <c r="D20" s="412" t="str">
        <f>+C3</f>
        <v xml:space="preserve">         Dic. 23</v>
      </c>
      <c r="E20" s="406" t="s">
        <v>333</v>
      </c>
    </row>
    <row r="21" spans="2:5" ht="15" customHeight="1">
      <c r="B21" s="423" t="s">
        <v>276</v>
      </c>
      <c r="C21" s="416"/>
      <c r="D21" s="416">
        <v>18075406</v>
      </c>
      <c r="E21" s="431"/>
    </row>
    <row r="22" spans="2:5" ht="15" customHeight="1">
      <c r="B22" s="423" t="s">
        <v>331</v>
      </c>
      <c r="C22" s="416"/>
      <c r="D22" s="416">
        <v>5942311</v>
      </c>
      <c r="E22" s="431"/>
    </row>
    <row r="23" spans="2:5" ht="15" customHeight="1">
      <c r="B23" s="423" t="s">
        <v>275</v>
      </c>
      <c r="C23" s="416"/>
      <c r="D23" s="416">
        <v>5338754</v>
      </c>
      <c r="E23" s="431"/>
    </row>
    <row r="24" spans="2:5" ht="15" customHeight="1">
      <c r="B24" s="423" t="s">
        <v>330</v>
      </c>
      <c r="C24" s="416"/>
      <c r="D24" s="416">
        <v>2971000</v>
      </c>
      <c r="E24" s="431"/>
    </row>
    <row r="25" spans="2:5" ht="15" customHeight="1">
      <c r="B25" s="423" t="s">
        <v>341</v>
      </c>
      <c r="C25" s="416"/>
      <c r="D25" s="416">
        <v>2395189</v>
      </c>
      <c r="E25" s="431"/>
    </row>
    <row r="26" spans="2:5" ht="15" customHeight="1">
      <c r="B26" s="423" t="s">
        <v>360</v>
      </c>
      <c r="C26" s="416"/>
      <c r="D26" s="416">
        <v>1494773</v>
      </c>
      <c r="E26" s="431"/>
    </row>
    <row r="27" spans="2:5" ht="15" customHeight="1">
      <c r="B27" s="423" t="s">
        <v>326</v>
      </c>
      <c r="C27" s="416"/>
      <c r="D27" s="416">
        <v>1350874</v>
      </c>
      <c r="E27" s="431"/>
    </row>
    <row r="28" spans="2:5" ht="15" customHeight="1">
      <c r="B28" s="423" t="s">
        <v>361</v>
      </c>
      <c r="C28" s="416"/>
      <c r="D28" s="416">
        <v>1190868</v>
      </c>
      <c r="E28" s="431"/>
    </row>
    <row r="29" spans="2:5" ht="15" customHeight="1">
      <c r="B29" s="423" t="s">
        <v>342</v>
      </c>
      <c r="C29" s="416"/>
      <c r="D29" s="416">
        <v>1050399</v>
      </c>
      <c r="E29" s="431"/>
    </row>
    <row r="30" spans="2:5" ht="15" customHeight="1">
      <c r="B30" s="30"/>
      <c r="C30" s="392"/>
      <c r="D30" s="525"/>
      <c r="E30" s="525"/>
    </row>
  </sheetData>
  <mergeCells count="1">
    <mergeCell ref="D30:E30"/>
  </mergeCells>
  <phoneticPr fontId="5" type="noConversion"/>
  <pageMargins left="0.74803149606299213" right="0.74803149606299213" top="0.98425196850393704" bottom="0.98425196850393704" header="0" footer="0"/>
  <pageSetup scale="87" orientation="portrait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K62"/>
  <sheetViews>
    <sheetView showGridLines="0" workbookViewId="0">
      <selection activeCell="B2" sqref="B2:H10"/>
    </sheetView>
  </sheetViews>
  <sheetFormatPr baseColWidth="10" defaultColWidth="11.42578125" defaultRowHeight="15" customHeight="1"/>
  <cols>
    <col min="1" max="1" width="26.140625" style="7" bestFit="1" customWidth="1"/>
    <col min="2" max="2" width="24.7109375" style="7" bestFit="1" customWidth="1"/>
    <col min="3" max="3" width="11.42578125" style="7"/>
    <col min="4" max="4" width="15.28515625" style="7" bestFit="1" customWidth="1"/>
    <col min="5" max="5" width="12.42578125" style="7" bestFit="1" customWidth="1"/>
    <col min="6" max="6" width="13.5703125" style="7" customWidth="1"/>
    <col min="7" max="7" width="12.85546875" style="7" bestFit="1" customWidth="1"/>
    <col min="8" max="8" width="14.42578125" style="7" bestFit="1" customWidth="1"/>
    <col min="9" max="9" width="11.42578125" style="7"/>
    <col min="10" max="10" width="14.5703125" style="7" customWidth="1"/>
    <col min="11" max="11" width="11.42578125" style="7"/>
    <col min="12" max="12" width="30.140625" style="7" bestFit="1" customWidth="1"/>
    <col min="13" max="16384" width="11.42578125" style="7"/>
  </cols>
  <sheetData>
    <row r="1" spans="1:11" ht="15" customHeight="1">
      <c r="E1" s="41"/>
      <c r="F1" s="41"/>
      <c r="G1" s="41"/>
      <c r="H1" s="41"/>
    </row>
    <row r="2" spans="1:11" ht="18.75" customHeight="1" thickBot="1">
      <c r="B2" s="497" t="s">
        <v>259</v>
      </c>
      <c r="C2" s="498" t="s">
        <v>195</v>
      </c>
      <c r="D2" s="498" t="s">
        <v>196</v>
      </c>
      <c r="E2" s="498" t="s">
        <v>197</v>
      </c>
      <c r="F2" s="498" t="s">
        <v>206</v>
      </c>
      <c r="G2" s="498" t="s">
        <v>207</v>
      </c>
      <c r="H2" s="498" t="s">
        <v>208</v>
      </c>
      <c r="J2" s="384" t="s">
        <v>289</v>
      </c>
      <c r="K2" s="385" t="s">
        <v>288</v>
      </c>
    </row>
    <row r="3" spans="1:11" ht="15" customHeight="1">
      <c r="A3" s="499"/>
      <c r="B3" s="500" t="s">
        <v>198</v>
      </c>
      <c r="C3" s="43" t="s">
        <v>71</v>
      </c>
      <c r="D3" s="285">
        <f>SUM(E3:H3)</f>
        <v>182603868.21399999</v>
      </c>
      <c r="E3" s="286">
        <f>([2]Contable!$C$8+[2]Contable!$E$8)/1000</f>
        <v>27573978.844000001</v>
      </c>
      <c r="F3" s="286">
        <f>+[2]Contable!$G$8/1000</f>
        <v>40165694.795999996</v>
      </c>
      <c r="G3" s="286">
        <f>[2]Contable!$I$8/1000</f>
        <v>37549422.263999999</v>
      </c>
      <c r="H3" s="286">
        <f>[2]Contable!$K$8/1000+1</f>
        <v>77314772.310000002</v>
      </c>
      <c r="J3" s="347">
        <f>+'[3]N16.3 Clases Instrum. Finan.'!$E$26+'[3]N16.3 Clases Instrum. Finan.'!$E$46</f>
        <v>182603868</v>
      </c>
      <c r="K3" s="386">
        <f>+D3-J3</f>
        <v>0.21399998664855957</v>
      </c>
    </row>
    <row r="4" spans="1:11" ht="15" customHeight="1">
      <c r="A4" s="499"/>
      <c r="B4" s="4" t="s">
        <v>224</v>
      </c>
      <c r="C4" s="43" t="s">
        <v>71</v>
      </c>
      <c r="D4" s="285">
        <f t="shared" ref="D4" si="0">SUM(E4:H4)</f>
        <v>854549533</v>
      </c>
      <c r="E4" s="286">
        <f>+'[3]N16.4 Bonos CP'!$K$23</f>
        <v>20758965</v>
      </c>
      <c r="F4" s="286">
        <f>+'[3]N16.4 Bonos LP'!$I$23</f>
        <v>6903050</v>
      </c>
      <c r="G4" s="286">
        <f>+'[3]N16.4 Bonos LP'!$J$23</f>
        <v>0</v>
      </c>
      <c r="H4" s="286">
        <f>+'[3]N16.4 Bonos LP'!$K$23+'[3]N16.3 Clases Instrum. Finan.'!$E$47</f>
        <v>826887518</v>
      </c>
      <c r="J4" s="347">
        <f>+'[3]N16.3 Clases Instrum. Finan.'!$E$23+'[3]N16.3 Clases Instrum. Finan.'!$E$24+'[3]N16.3 Clases Instrum. Finan.'!$E$25+'[3]N16.3 Clases Instrum. Finan.'!$E$43+'[3]N16.3 Clases Instrum. Finan.'!$E$44+'[3]N16.3 Clases Instrum. Finan.'!$E$45+'[3]N16.3 Clases Instrum. Finan.'!$E$47</f>
        <v>854549533</v>
      </c>
      <c r="K4" s="386">
        <f>+D4-J4</f>
        <v>0</v>
      </c>
    </row>
    <row r="5" spans="1:11" ht="15" customHeight="1">
      <c r="A5" s="499"/>
      <c r="B5" s="4" t="s">
        <v>225</v>
      </c>
      <c r="C5" s="43" t="s">
        <v>71</v>
      </c>
      <c r="D5" s="285">
        <f>SUM(E5:H5)</f>
        <v>243324297</v>
      </c>
      <c r="E5" s="286">
        <f>+'[3]N16.4 Préstamos CP'!$I$22</f>
        <v>107083857</v>
      </c>
      <c r="F5" s="286">
        <f>+'[3]N16.4 Préstamos LP'!$G$21</f>
        <v>106368440</v>
      </c>
      <c r="G5" s="286">
        <f>+'[3]N16.4 Préstamos LP'!$H$21</f>
        <v>29872000</v>
      </c>
      <c r="H5" s="286">
        <v>0</v>
      </c>
      <c r="J5" s="347">
        <f>+'[3]N16.3 Clases Instrum. Finan.'!$E$22+'[3]N16.3 Clases Instrum. Finan.'!$E$42</f>
        <v>243324297</v>
      </c>
      <c r="K5" s="386">
        <f>+D5-J5</f>
        <v>0</v>
      </c>
    </row>
    <row r="6" spans="1:11" ht="15" hidden="1" customHeight="1">
      <c r="A6" s="499"/>
      <c r="B6" s="4" t="s">
        <v>338</v>
      </c>
      <c r="C6" s="43" t="s">
        <v>337</v>
      </c>
      <c r="D6" s="285">
        <f t="shared" ref="D6" si="1">SUM(E6:H6)</f>
        <v>0</v>
      </c>
      <c r="E6" s="286">
        <f>+'[3]N16.3 Clases Instrum. Finan.'!$E$27</f>
        <v>0</v>
      </c>
      <c r="F6" s="286"/>
      <c r="G6" s="286"/>
      <c r="H6" s="286"/>
      <c r="J6" s="347">
        <f>+'[3]N16.3 Clases Instrum. Finan.'!$E$27</f>
        <v>0</v>
      </c>
      <c r="K6" s="386"/>
    </row>
    <row r="7" spans="1:11" ht="15" customHeight="1">
      <c r="B7" s="5" t="s">
        <v>318</v>
      </c>
      <c r="C7" s="43"/>
      <c r="D7" s="285">
        <f>SUM(D3:D6)</f>
        <v>1280477698.214</v>
      </c>
      <c r="E7" s="285">
        <f>SUM(E3:E6)</f>
        <v>155416800.84399998</v>
      </c>
      <c r="F7" s="285">
        <f>SUM(F3:F6)</f>
        <v>153437184.796</v>
      </c>
      <c r="G7" s="285">
        <f>SUM(G3:G6)</f>
        <v>67421422.263999999</v>
      </c>
      <c r="H7" s="285">
        <f>SUM(H3:H6)</f>
        <v>904202290.30999994</v>
      </c>
      <c r="J7" s="347"/>
      <c r="K7" s="386"/>
    </row>
    <row r="8" spans="1:11" ht="15" customHeight="1">
      <c r="A8" s="499"/>
      <c r="B8" s="365" t="s">
        <v>280</v>
      </c>
      <c r="C8" s="366" t="s">
        <v>71</v>
      </c>
      <c r="D8" s="367">
        <f t="shared" ref="D8" si="2">SUM(E8:H8)</f>
        <v>4518657</v>
      </c>
      <c r="E8" s="368">
        <f>+'[4]N3 Perfil Vencimiento'!$C$8+'[4]N3 Perfil Vencimiento'!$E$8</f>
        <v>1756478</v>
      </c>
      <c r="F8" s="368">
        <f>+'[4]N3 Perfil Vencimiento'!$G$8</f>
        <v>1635333</v>
      </c>
      <c r="G8" s="368">
        <f>+'[4]N3 Perfil Vencimiento'!$I$8</f>
        <v>978008</v>
      </c>
      <c r="H8" s="368">
        <f>+'[3]N14 Arrendamiento NIIF16'!$C$39</f>
        <v>148838</v>
      </c>
      <c r="J8" s="347">
        <f>+'[3]N16.3 Clases Instrum. Finan.'!$E$29+'[3]N16.3 Clases Instrum. Finan.'!$E$49</f>
        <v>4515091</v>
      </c>
      <c r="K8" s="386">
        <f>+D8-J8</f>
        <v>3566</v>
      </c>
    </row>
    <row r="9" spans="1:11" ht="15" customHeight="1" thickBot="1">
      <c r="A9" s="499"/>
      <c r="B9" s="5" t="s">
        <v>319</v>
      </c>
      <c r="C9" s="501"/>
      <c r="D9" s="502">
        <f>+D8</f>
        <v>4518657</v>
      </c>
      <c r="E9" s="502">
        <f t="shared" ref="E9:H9" si="3">+E8</f>
        <v>1756478</v>
      </c>
      <c r="F9" s="502">
        <f t="shared" si="3"/>
        <v>1635333</v>
      </c>
      <c r="G9" s="502">
        <f t="shared" si="3"/>
        <v>978008</v>
      </c>
      <c r="H9" s="502">
        <f t="shared" si="3"/>
        <v>148838</v>
      </c>
      <c r="J9" s="347"/>
      <c r="K9" s="348"/>
    </row>
    <row r="10" spans="1:11" ht="15" customHeight="1">
      <c r="B10" s="503" t="s">
        <v>204</v>
      </c>
      <c r="C10" s="14"/>
      <c r="D10" s="285">
        <f>+D7+D9</f>
        <v>1284996355.214</v>
      </c>
      <c r="E10" s="285">
        <f t="shared" ref="E10:H10" si="4">+E7+E9</f>
        <v>157173278.84399998</v>
      </c>
      <c r="F10" s="285">
        <f t="shared" si="4"/>
        <v>155072517.796</v>
      </c>
      <c r="G10" s="285">
        <f t="shared" si="4"/>
        <v>68399430.263999999</v>
      </c>
      <c r="H10" s="285">
        <f t="shared" si="4"/>
        <v>904351128.30999994</v>
      </c>
      <c r="J10" s="23"/>
    </row>
    <row r="12" spans="1:11" ht="15" customHeight="1">
      <c r="B12" s="7" t="s">
        <v>238</v>
      </c>
      <c r="D12" s="23"/>
      <c r="E12" s="23"/>
      <c r="F12" s="7" t="s">
        <v>239</v>
      </c>
      <c r="G12" s="23"/>
      <c r="H12" s="23"/>
    </row>
    <row r="13" spans="1:11" ht="15" customHeight="1">
      <c r="B13" s="504" t="str">
        <f>+B3</f>
        <v>AFRs</v>
      </c>
      <c r="C13" s="505">
        <f>ROUND(D13/$D$10,5)</f>
        <v>0.1421</v>
      </c>
      <c r="D13" s="506">
        <f>+D3</f>
        <v>182603868.21399999</v>
      </c>
      <c r="E13" s="44"/>
      <c r="F13" s="504" t="s">
        <v>210</v>
      </c>
      <c r="G13" s="505">
        <f>ROUND(H13/$D$10,5)</f>
        <v>0.91522000000000003</v>
      </c>
      <c r="H13" s="506">
        <f>+B45+B46+B47+B50+B48</f>
        <v>1176054590</v>
      </c>
      <c r="I13" s="499"/>
    </row>
    <row r="14" spans="1:11" ht="15" customHeight="1">
      <c r="B14" s="44" t="str">
        <f>+B4</f>
        <v>Bonos</v>
      </c>
      <c r="C14" s="507">
        <f t="shared" ref="C14:C16" si="5">ROUND(D14/$D$10,5)</f>
        <v>0.66501999999999994</v>
      </c>
      <c r="D14" s="45">
        <f>+D4</f>
        <v>854549533</v>
      </c>
      <c r="E14" s="44"/>
      <c r="F14" s="44" t="s">
        <v>209</v>
      </c>
      <c r="G14" s="507">
        <f>ROUND(H14/$D$10,5)</f>
        <v>8.4779999999999994E-2</v>
      </c>
      <c r="H14" s="45">
        <f>+B44</f>
        <v>108938199</v>
      </c>
      <c r="I14" s="499"/>
    </row>
    <row r="15" spans="1:11" ht="15" customHeight="1">
      <c r="B15" s="44" t="s">
        <v>225</v>
      </c>
      <c r="C15" s="507">
        <f t="shared" si="5"/>
        <v>0.18936</v>
      </c>
      <c r="D15" s="45">
        <f>+D5</f>
        <v>243324297</v>
      </c>
      <c r="E15" s="44"/>
      <c r="F15" s="44"/>
      <c r="G15" s="508">
        <f>+G13+G14</f>
        <v>1</v>
      </c>
      <c r="H15" s="45">
        <f>+SUM(H13:H14)</f>
        <v>1284992789</v>
      </c>
      <c r="J15" s="390"/>
    </row>
    <row r="16" spans="1:11" ht="15" customHeight="1">
      <c r="B16" s="44" t="s">
        <v>338</v>
      </c>
      <c r="C16" s="507">
        <f t="shared" si="5"/>
        <v>0</v>
      </c>
      <c r="D16" s="45">
        <f>+D6</f>
        <v>0</v>
      </c>
      <c r="E16" s="44"/>
      <c r="F16" s="44"/>
      <c r="G16" s="391"/>
      <c r="H16" s="509"/>
      <c r="J16" s="390"/>
    </row>
    <row r="17" spans="2:8" ht="12.75">
      <c r="B17" s="44" t="str">
        <f>+B8</f>
        <v>Pasivo por arrendamientos</v>
      </c>
      <c r="C17" s="507">
        <f>ROUND(D17/$D$10,4)</f>
        <v>3.5000000000000001E-3</v>
      </c>
      <c r="D17" s="45">
        <f>+D8</f>
        <v>4518657</v>
      </c>
      <c r="G17" s="46"/>
    </row>
    <row r="18" spans="2:8" ht="15" customHeight="1">
      <c r="C18" s="510">
        <f>SUM(C13:C17)</f>
        <v>0.99997999999999987</v>
      </c>
      <c r="D18" s="393"/>
      <c r="G18" s="47"/>
    </row>
    <row r="19" spans="2:8" ht="15" customHeight="1">
      <c r="C19" s="46"/>
      <c r="D19" s="23"/>
      <c r="E19" s="23"/>
      <c r="F19" s="23"/>
      <c r="G19" s="23"/>
      <c r="H19" s="23"/>
    </row>
    <row r="20" spans="2:8" ht="15" customHeight="1">
      <c r="C20" s="47"/>
      <c r="D20" s="23"/>
      <c r="E20" s="23"/>
      <c r="F20" s="23"/>
      <c r="G20" s="23"/>
      <c r="H20" s="23"/>
    </row>
    <row r="21" spans="2:8" ht="15" customHeight="1">
      <c r="D21" s="23"/>
    </row>
    <row r="22" spans="2:8" ht="15" customHeight="1">
      <c r="D22" s="23"/>
    </row>
    <row r="44" spans="1:4" ht="15" customHeight="1">
      <c r="A44" s="149" t="s">
        <v>304</v>
      </c>
      <c r="B44" s="351">
        <f>+'[3]N3 Tasa de interes'!C13</f>
        <v>108938199</v>
      </c>
      <c r="C44" s="511">
        <f t="shared" ref="C44:C50" si="6">+ROUND(B44/$B$51,4)</f>
        <v>8.48E-2</v>
      </c>
      <c r="D44" s="354"/>
    </row>
    <row r="45" spans="1:4" ht="15" customHeight="1">
      <c r="A45" s="149" t="s">
        <v>305</v>
      </c>
      <c r="B45" s="351">
        <f>+'[3]N3 Tasa de interes'!C14</f>
        <v>134386098</v>
      </c>
      <c r="C45" s="511">
        <f t="shared" si="6"/>
        <v>0.1046</v>
      </c>
    </row>
    <row r="46" spans="1:4" ht="15" customHeight="1">
      <c r="A46" s="149" t="s">
        <v>224</v>
      </c>
      <c r="B46" s="351">
        <f>+'[3]N3 Tasa de interes'!C15</f>
        <v>848806707</v>
      </c>
      <c r="C46" s="511">
        <f t="shared" si="6"/>
        <v>0.66059999999999997</v>
      </c>
    </row>
    <row r="47" spans="1:4" ht="15" customHeight="1">
      <c r="A47" s="149" t="s">
        <v>302</v>
      </c>
      <c r="B47" s="351">
        <f>+'[3]N3 Tasa de interes'!C16</f>
        <v>182603868</v>
      </c>
      <c r="C47" s="511">
        <f t="shared" si="6"/>
        <v>0.1421</v>
      </c>
    </row>
    <row r="48" spans="1:4" ht="15" customHeight="1">
      <c r="A48" s="149" t="s">
        <v>334</v>
      </c>
      <c r="B48" s="351">
        <f>+'[3]N3 Tasa de interes'!C18</f>
        <v>5742826</v>
      </c>
      <c r="C48" s="511">
        <f t="shared" si="6"/>
        <v>4.4999999999999997E-3</v>
      </c>
      <c r="D48" s="149"/>
    </row>
    <row r="49" spans="1:3" ht="15" customHeight="1">
      <c r="A49" s="149" t="s">
        <v>338</v>
      </c>
      <c r="B49" s="351">
        <f>+'[3]N3 Tasa de interes'!C17</f>
        <v>0</v>
      </c>
      <c r="C49" s="511">
        <f t="shared" si="6"/>
        <v>0</v>
      </c>
    </row>
    <row r="50" spans="1:3" ht="15" customHeight="1">
      <c r="A50" s="149" t="s">
        <v>300</v>
      </c>
      <c r="B50" s="351">
        <f>+'[3]N3 Tasa de interes'!C19</f>
        <v>4515091</v>
      </c>
      <c r="C50" s="511">
        <f t="shared" si="6"/>
        <v>3.5000000000000001E-3</v>
      </c>
    </row>
    <row r="51" spans="1:3" ht="15" customHeight="1">
      <c r="A51" s="148" t="s">
        <v>303</v>
      </c>
      <c r="B51" s="352">
        <f>+SUM(B44:B50)</f>
        <v>1284992789</v>
      </c>
      <c r="C51" s="353">
        <f>+SUM(C44:C50)</f>
        <v>1.0001</v>
      </c>
    </row>
    <row r="52" spans="1:3" ht="15" customHeight="1">
      <c r="A52" s="149"/>
    </row>
    <row r="53" spans="1:3" ht="15" customHeight="1">
      <c r="A53" s="349" t="s">
        <v>452</v>
      </c>
      <c r="B53" s="349"/>
      <c r="C53" s="349"/>
    </row>
    <row r="54" spans="1:3" ht="15" customHeight="1">
      <c r="A54" s="149" t="s">
        <v>210</v>
      </c>
      <c r="B54" s="149"/>
      <c r="C54" s="277">
        <f>+ROUND((C46+C47+C50+C45+C48),3)</f>
        <v>0.91500000000000004</v>
      </c>
    </row>
    <row r="55" spans="1:3" ht="15" customHeight="1">
      <c r="A55" s="149" t="s">
        <v>209</v>
      </c>
      <c r="B55" s="149"/>
      <c r="C55" s="277">
        <f>+ROUND((C44),3)</f>
        <v>8.5000000000000006E-2</v>
      </c>
    </row>
    <row r="56" spans="1:3" ht="15" customHeight="1">
      <c r="A56" s="350" t="s">
        <v>191</v>
      </c>
      <c r="B56" s="350"/>
      <c r="C56" s="512">
        <f>+C54+C55</f>
        <v>1</v>
      </c>
    </row>
    <row r="57" spans="1:3" ht="15" customHeight="1">
      <c r="A57" s="149" t="s">
        <v>298</v>
      </c>
      <c r="B57" s="149"/>
      <c r="C57" s="242">
        <f>+ROUND((C46/($C$46+$C$47+$C$50+$C$45+C48)),3)</f>
        <v>0.72199999999999998</v>
      </c>
    </row>
    <row r="58" spans="1:3" ht="15" customHeight="1">
      <c r="A58" s="149" t="s">
        <v>299</v>
      </c>
      <c r="B58" s="149"/>
      <c r="C58" s="242">
        <f>+ROUND((C47/($C$46+$C$47+$C$50+$C$45+C48)),3)</f>
        <v>0.155</v>
      </c>
    </row>
    <row r="59" spans="1:3" ht="15" customHeight="1">
      <c r="A59" s="149" t="s">
        <v>301</v>
      </c>
      <c r="B59" s="149"/>
      <c r="C59" s="242">
        <f>+ROUND((C45/($C$46+$C$47+$C$50+$C$45+C48)),3)</f>
        <v>0.114</v>
      </c>
    </row>
    <row r="60" spans="1:3" ht="15" customHeight="1">
      <c r="A60" s="149" t="s">
        <v>334</v>
      </c>
      <c r="B60" s="149"/>
      <c r="C60" s="242">
        <f>+ROUND((C48/($C$46+$C$47+$C$50+$C$45+C48)),3)</f>
        <v>5.0000000000000001E-3</v>
      </c>
    </row>
    <row r="61" spans="1:3" ht="15" customHeight="1">
      <c r="A61" s="149" t="s">
        <v>300</v>
      </c>
      <c r="B61" s="149"/>
      <c r="C61" s="242">
        <f>+ROUND((C50/($C$46+$C$47+$C$50+C45+C48)),3)</f>
        <v>4.0000000000000001E-3</v>
      </c>
    </row>
    <row r="62" spans="1:3" ht="15" customHeight="1">
      <c r="A62" s="350" t="s">
        <v>191</v>
      </c>
      <c r="B62" s="350"/>
      <c r="C62" s="512">
        <f>SUM(C57:C61)</f>
        <v>1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  <pageSetUpPr fitToPage="1"/>
  </sheetPr>
  <dimension ref="B3:G18"/>
  <sheetViews>
    <sheetView showGridLines="0" tabSelected="1" workbookViewId="0">
      <selection activeCell="I6" sqref="I6"/>
    </sheetView>
  </sheetViews>
  <sheetFormatPr baseColWidth="10" defaultColWidth="11.42578125" defaultRowHeight="15" customHeight="1"/>
  <cols>
    <col min="1" max="1" width="6" style="7" customWidth="1"/>
    <col min="2" max="2" width="33.28515625" style="7" customWidth="1"/>
    <col min="3" max="4" width="12" style="7" bestFit="1" customWidth="1"/>
    <col min="5" max="6" width="11.42578125" style="7"/>
    <col min="7" max="7" width="12" style="7" bestFit="1" customWidth="1"/>
    <col min="8" max="16384" width="11.42578125" style="7"/>
  </cols>
  <sheetData>
    <row r="3" spans="2:7" ht="15" customHeight="1" thickBot="1">
      <c r="B3" s="21" t="s">
        <v>277</v>
      </c>
      <c r="C3" s="6" t="str">
        <f>+'Estado de situación financiera'!C3</f>
        <v xml:space="preserve">         Dic. 23</v>
      </c>
      <c r="D3" s="6" t="str">
        <f>+'Estado de situación financiera'!D3</f>
        <v xml:space="preserve">         Dic. 22</v>
      </c>
      <c r="E3" s="6" t="s">
        <v>174</v>
      </c>
    </row>
    <row r="4" spans="2:7" ht="15" customHeight="1">
      <c r="B4" s="4" t="s">
        <v>177</v>
      </c>
      <c r="C4" s="8">
        <f>ROUND(cálculos!D28,0)</f>
        <v>227922765</v>
      </c>
      <c r="D4" s="8">
        <f>ROUND(cálculos!E28,0)</f>
        <v>241057418</v>
      </c>
      <c r="E4" s="48">
        <f>ROUND((C4-D4)/D4,3)</f>
        <v>-5.3999999999999999E-2</v>
      </c>
      <c r="G4" s="364">
        <f>+C4-D4</f>
        <v>-13134653</v>
      </c>
    </row>
    <row r="5" spans="2:7" ht="15" customHeight="1">
      <c r="B5" s="4" t="s">
        <v>178</v>
      </c>
      <c r="C5" s="8">
        <f>ROUND(cálculos!D29,0)</f>
        <v>-150002292</v>
      </c>
      <c r="D5" s="8">
        <f>ROUND(cálculos!E29,0)</f>
        <v>-165900708</v>
      </c>
      <c r="E5" s="48">
        <f>ROUND((C5-D5)/D5,3)</f>
        <v>-9.6000000000000002E-2</v>
      </c>
      <c r="G5" s="364">
        <f>+C5-D5</f>
        <v>15898416</v>
      </c>
    </row>
    <row r="6" spans="2:7" ht="15" customHeight="1">
      <c r="B6" s="4" t="s">
        <v>179</v>
      </c>
      <c r="C6" s="8">
        <f>ROUND(cálculos!D30,0)</f>
        <v>-147670931</v>
      </c>
      <c r="D6" s="8">
        <f>ROUND(cálculos!E30,0)</f>
        <v>-59169722</v>
      </c>
      <c r="E6" s="48">
        <f>ROUND((C6-D6)/D6,3)</f>
        <v>1.496</v>
      </c>
      <c r="G6" s="364">
        <f>+C6-D6</f>
        <v>-88501209</v>
      </c>
    </row>
    <row r="7" spans="2:7" ht="15" customHeight="1">
      <c r="B7" s="5" t="s">
        <v>258</v>
      </c>
      <c r="C7" s="10">
        <f>SUM(C4:C6)</f>
        <v>-69750458</v>
      </c>
      <c r="D7" s="10">
        <f>SUM(D4:D6)</f>
        <v>15986988</v>
      </c>
      <c r="E7" s="370">
        <f>ROUND((C7-D7)/D7,3)</f>
        <v>-5.3630000000000004</v>
      </c>
      <c r="G7" s="364">
        <f>+C7-D7</f>
        <v>-85737446</v>
      </c>
    </row>
    <row r="8" spans="2:7" ht="15" customHeight="1">
      <c r="B8" s="5" t="s">
        <v>180</v>
      </c>
      <c r="C8" s="10">
        <f>ROUND(cálculos!D33,0)</f>
        <v>110795410</v>
      </c>
      <c r="D8" s="10">
        <f>ROUND(cálculos!E33,0)</f>
        <v>180545868</v>
      </c>
      <c r="E8" s="370">
        <f>ROUND((C8-D8)/D8,3)</f>
        <v>-0.38600000000000001</v>
      </c>
      <c r="G8" s="364">
        <f>+C8-D8</f>
        <v>-69750458</v>
      </c>
    </row>
    <row r="9" spans="2:7" ht="15" customHeight="1">
      <c r="C9" s="32">
        <f>+C8-Balance!D6</f>
        <v>0</v>
      </c>
      <c r="D9" s="32"/>
    </row>
    <row r="11" spans="2:7" ht="15" customHeight="1">
      <c r="C11" s="17"/>
    </row>
    <row r="12" spans="2:7" ht="15" customHeight="1">
      <c r="B12" t="s">
        <v>370</v>
      </c>
      <c r="C12" s="17"/>
      <c r="D12" s="32"/>
    </row>
    <row r="13" spans="2:7" ht="15" customHeight="1">
      <c r="C13" s="17"/>
    </row>
    <row r="14" spans="2:7" ht="15" customHeight="1">
      <c r="C14" s="17"/>
    </row>
    <row r="15" spans="2:7" ht="15" customHeight="1">
      <c r="C15" s="17"/>
    </row>
    <row r="16" spans="2:7" ht="15" customHeight="1">
      <c r="C16" s="17"/>
    </row>
    <row r="17" spans="3:3" ht="15" customHeight="1">
      <c r="C17" s="17"/>
    </row>
    <row r="18" spans="3:3" ht="15" customHeight="1">
      <c r="C18" s="23"/>
    </row>
  </sheetData>
  <pageMargins left="0.74803149606299213" right="0.74803149606299213" top="0.98425196850393704" bottom="0.98425196850393704" header="0" footer="0"/>
  <pageSetup scale="72" orientation="portrait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Z V Y W T d G k d f a D a p n N q v T 4 + C T 9 z n q Z 7 u 3 s 3 h u / K 5 t 3 j + / 6 L z x + 9 u r L F 2 9 O X z z 9 / b W X 3 / / s x b M v j x 7 s 7 + y M 9 8 b 3 8 O / O p / c f 3 4 0 3 e / z m 9 3 9 6 / O b 4 5 a s v f / L s 6 e m r 9 C 4 + O X t z + s V r / P r 6 9 / / J 4 1 d n x 0 + e n 5 7 Q y 8 d n L 0 5 f H T 2 2 v / 7 + 3 z 5 + 8 f Q 5 k b c p H i 2 L 8 r O P 2 n p N d A O I 3 / v 3 / / L J d 0 5 P 3 u B 9 + v / z r 0 5 f R 5 r d j c J / 8 / s T N i 9 P X 7 0 5 O 3 1 N F H v 1 e w d / n z 0 9 O n 7 + / M v v / v 5 P X x 1 / / v s T A v T L l y 8 f 3 6 X P H 3 N H R 7 8 3 0 Z t / I R J 3 X o 4 A e 3 X 6 7 N X p 6 2 / / / q e / 9 9 m b 3 / + L 4 5 N X X w q s 2 7 x L f 5 6 c v n a D + P p Y f H H 6 / I 0 F 8 / r r w 6 E / 3 4 D s 3 / 3 y 1 e / 1 5 M s v f y 8 P E h P 8 F i A M Q b 7 7 5 P c n J q G v X n w N I K b / 3 / / l 8 e v X 9 M f T 2 x P 1 z b d P v 1 B K 3 q b 5 6 z e / z / P T 3 / + r l 8 T F p 7 / / F 1 8 + D S Z h 5 7 2 I 9 + b V 8 Y v X z 4 i v P w z M j 7 / 4 S f 9 l / v O 9 X v 8 q f P 2 r 9 3 r 9 x Z e / / 3 d f H f s C 8 d 5 z 1 h n + b d 9 / / W 2 S S v r A y c M H M L J F 5 k x Z 5 7 1 Q e X n 8 6 v T F m w + c R w X C b 3 w N H F 5 / 9 f L l l 6 / e / P 6 v z 1 5 8 T h z 6 9 O X v r 5 L 1 N W B 9 9 f q U J P H N 2 R d n P 3 X 6 + 7 9 + 8 y W p v t s q m 7 u h O g W k k y + / e E m I v I b 1 g C 5 + f L f 7 6 W M Z + 4 v j L x h F + e v N 7 / P y 9 O i 7 V f 1 2 U l V v H 9 / 1 P n z 8 + o 2 R v i P i V u + v x 2 w N j / 4 f h m 8 y 7 q 4 H A A A = < / A p p l i c a t i o n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7904A346C7DD4CB5D7CA632F15255C" ma:contentTypeVersion="16" ma:contentTypeDescription="Crear nuevo documento." ma:contentTypeScope="" ma:versionID="9210b77dfb31e69af9bd70199b5e5959">
  <xsd:schema xmlns:xsd="http://www.w3.org/2001/XMLSchema" xmlns:xs="http://www.w3.org/2001/XMLSchema" xmlns:p="http://schemas.microsoft.com/office/2006/metadata/properties" xmlns:ns2="cdaa483f-becd-4601-9da5-7224441603e2" xmlns:ns3="2667b352-ea57-489e-a59a-7ce1cbaae621" targetNamespace="http://schemas.microsoft.com/office/2006/metadata/properties" ma:root="true" ma:fieldsID="226f6c7207f167e99096436060250f4c" ns2:_="" ns3:_="">
    <xsd:import namespace="cdaa483f-becd-4601-9da5-7224441603e2"/>
    <xsd:import namespace="2667b352-ea57-489e-a59a-7ce1cbaae6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a483f-becd-4601-9da5-7224441603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8f0e803-a5df-4450-bbb8-f0df653328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7b352-ea57-489e-a59a-7ce1cbaae6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d295033-f451-4031-a4c8-6373d5cb8e83}" ma:internalName="TaxCatchAll" ma:showField="CatchAllData" ma:web="2667b352-ea57-489e-a59a-7ce1cbaae6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a483f-becd-4601-9da5-7224441603e2">
      <Terms xmlns="http://schemas.microsoft.com/office/infopath/2007/PartnerControls"/>
    </lcf76f155ced4ddcb4097134ff3c332f>
    <TaxCatchAll xmlns="2667b352-ea57-489e-a59a-7ce1cbaae621" xsi:nil="true"/>
  </documentManagement>
</p:properties>
</file>

<file path=customXml/itemProps1.xml><?xml version="1.0" encoding="utf-8"?>
<ds:datastoreItem xmlns:ds="http://schemas.openxmlformats.org/officeDocument/2006/customXml" ds:itemID="{E4F3A833-FE05-4BEC-800E-5A8547B2AFC9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764EF4B6-45B0-4AA2-999B-1CDF2F9F3581}"/>
</file>

<file path=customXml/itemProps3.xml><?xml version="1.0" encoding="utf-8"?>
<ds:datastoreItem xmlns:ds="http://schemas.openxmlformats.org/officeDocument/2006/customXml" ds:itemID="{83DCF992-AD34-417E-841C-4D0EB2B77E1A}"/>
</file>

<file path=customXml/itemProps4.xml><?xml version="1.0" encoding="utf-8"?>
<ds:datastoreItem xmlns:ds="http://schemas.openxmlformats.org/officeDocument/2006/customXml" ds:itemID="{BDBC5F5D-CE56-4918-98F6-57EBD34FC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5</vt:i4>
      </vt:variant>
    </vt:vector>
  </HeadingPairs>
  <TitlesOfParts>
    <vt:vector size="21" baseType="lpstr">
      <vt:lpstr>Análisis de gastos</vt:lpstr>
      <vt:lpstr>Resultados</vt:lpstr>
      <vt:lpstr>Resultados por Segmento</vt:lpstr>
      <vt:lpstr>Resultados Trim</vt:lpstr>
      <vt:lpstr>Resultados Trimestrales</vt:lpstr>
      <vt:lpstr>Estado de situación financiera</vt:lpstr>
      <vt:lpstr>Deuda Financiera</vt:lpstr>
      <vt:lpstr>Flujo de efectivo</vt:lpstr>
      <vt:lpstr>Indicadores</vt:lpstr>
      <vt:lpstr>cálculos</vt:lpstr>
      <vt:lpstr>Balance</vt:lpstr>
      <vt:lpstr>Resultado</vt:lpstr>
      <vt:lpstr>Flujo</vt:lpstr>
      <vt:lpstr>Anualizados</vt:lpstr>
      <vt:lpstr>Valor Acc</vt:lpstr>
      <vt:lpstr>Hoja1</vt:lpstr>
      <vt:lpstr>'Resultados por Segmento'!_Hlk47472038</vt:lpstr>
      <vt:lpstr>Resultados!_Hlk70934545</vt:lpstr>
      <vt:lpstr>'Análisis de gastos'!_Toc534280096</vt:lpstr>
      <vt:lpstr>'Análisis de gastos'!_Toc534626058</vt:lpstr>
      <vt:lpstr>cálculos!Área_de_impresión</vt:lpstr>
    </vt:vector>
  </TitlesOfParts>
  <Company>Aguas Andinas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M.Angélica</dc:creator>
  <cp:lastModifiedBy>Juan Carlos Palacios Rojas</cp:lastModifiedBy>
  <cp:lastPrinted>2011-04-19T13:35:12Z</cp:lastPrinted>
  <dcterms:created xsi:type="dcterms:W3CDTF">2009-05-16T00:13:33Z</dcterms:created>
  <dcterms:modified xsi:type="dcterms:W3CDTF">2024-03-01T23:13:58Z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Tablas análisis razonado AAC Mar18_v0.xlsx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KriptosClassAi">
    <vt:lpwstr>2-Confidencial</vt:lpwstr>
  </property>
  <property fmtid="{D5CDD505-2E9C-101B-9397-08002B2CF9AE}" pid="6" name="ContentTypeId">
    <vt:lpwstr>0x010100287904A346C7DD4CB5D7CA632F15255C</vt:lpwstr>
  </property>
</Properties>
</file>