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disco04\Sistema de Consolidacion\SISTEMA-CONSOLIDACION\FECU  IFRS\FECUS AÑO 2024\3 Septiembre 2024\02 Analisis Razonado\"/>
    </mc:Choice>
  </mc:AlternateContent>
  <xr:revisionPtr revIDLastSave="0" documentId="13_ncr:1_{BA8CF737-185A-409D-AE15-73483EBBC7A7}" xr6:coauthVersionLast="47" xr6:coauthVersionMax="47" xr10:uidLastSave="{00000000-0000-0000-0000-000000000000}"/>
  <bookViews>
    <workbookView xWindow="-120" yWindow="-120" windowWidth="20730" windowHeight="11160" tabRatio="908" firstSheet="7" activeTab="10" xr2:uid="{00000000-000D-0000-FFFF-FFFF00000000}"/>
  </bookViews>
  <sheets>
    <sheet name="BExRepositorySheet" sheetId="9" state="veryHidden" r:id="rId1"/>
    <sheet name="Resultados Trimestrales" sheetId="34" r:id="rId2"/>
    <sheet name="Análisis de gastos" sheetId="32" r:id="rId3"/>
    <sheet name="Resultados" sheetId="18" r:id="rId4"/>
    <sheet name="Resultados por Segmento" sheetId="29" r:id="rId5"/>
    <sheet name="Resultados Trim" sheetId="24" state="hidden" r:id="rId6"/>
    <sheet name="Estado de situación financiera" sheetId="8" r:id="rId7"/>
    <sheet name="Deuda Financiera" sheetId="23" r:id="rId8"/>
    <sheet name="Flujo de efectivo" sheetId="17" r:id="rId9"/>
    <sheet name="Indicadores" sheetId="15" r:id="rId10"/>
    <sheet name="cálculos" sheetId="4" r:id="rId11"/>
    <sheet name="Balance" sheetId="11" r:id="rId12"/>
    <sheet name="Resultado" sheetId="12" r:id="rId13"/>
    <sheet name="Flujo" sheetId="13" r:id="rId14"/>
    <sheet name="Anualizados" sheetId="10" r:id="rId15"/>
    <sheet name="Valor Acc" sheetId="31" r:id="rId16"/>
    <sheet name="Hoja1" sheetId="3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Hlk128663002" localSheetId="7">'Deuda Financiera'!$M$2</definedName>
    <definedName name="_Hlk47472038" localSheetId="4">'Resultados por Segmento'!$B$10</definedName>
    <definedName name="_Hlk70934545" localSheetId="3">Resultados!$M$72</definedName>
    <definedName name="_Toc534280096" localSheetId="2">'Análisis de gastos'!$B$2</definedName>
    <definedName name="_Toc534626058" localSheetId="2">'Análisis de gastos'!$B$14</definedName>
    <definedName name="_xlnm.Print_Area" localSheetId="10">cálculos!$H$4:$L$51</definedName>
    <definedName name="_xlnm.Print_Area" localSheetId="6">'Estado de situación financiera'!#REF!</definedName>
    <definedName name="_xlnm.Print_Area" localSheetId="8">'Flujo de efectivo'!#REF!</definedName>
    <definedName name="_xlnm.Print_Area" localSheetId="9">Indicadores!#REF!</definedName>
    <definedName name="_xlnm.Print_Area" localSheetId="3">Resultados!#REF!</definedName>
    <definedName name="_xlnm.Print_Area" localSheetId="5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4" l="1"/>
  <c r="J40" i="4"/>
  <c r="E44" i="13" l="1"/>
  <c r="E40" i="13"/>
  <c r="E36" i="13"/>
  <c r="E30" i="13"/>
  <c r="E29" i="13"/>
  <c r="E27" i="13"/>
  <c r="E26" i="13"/>
  <c r="E21" i="13"/>
  <c r="E20" i="13"/>
  <c r="E19" i="13"/>
  <c r="E18" i="13"/>
  <c r="E14" i="13"/>
  <c r="E12" i="13"/>
  <c r="E10" i="13"/>
  <c r="E8" i="13"/>
  <c r="E4" i="13"/>
  <c r="G62" i="13"/>
  <c r="D64" i="11" l="1"/>
  <c r="D59" i="11"/>
  <c r="D61" i="11"/>
  <c r="D62" i="11"/>
  <c r="D58" i="11"/>
  <c r="D47" i="11"/>
  <c r="D48" i="11"/>
  <c r="D49" i="11"/>
  <c r="D50" i="11"/>
  <c r="D51" i="11"/>
  <c r="D52" i="11"/>
  <c r="D53" i="11"/>
  <c r="D46" i="11"/>
  <c r="E46" i="11"/>
  <c r="D35" i="11"/>
  <c r="D36" i="11"/>
  <c r="D37" i="11"/>
  <c r="D38" i="11"/>
  <c r="D39" i="11"/>
  <c r="D40" i="11"/>
  <c r="D41" i="11"/>
  <c r="D34" i="11"/>
  <c r="D18" i="11"/>
  <c r="D19" i="11"/>
  <c r="D20" i="11"/>
  <c r="D21" i="11"/>
  <c r="D22" i="11"/>
  <c r="D23" i="11"/>
  <c r="D24" i="11"/>
  <c r="D25" i="11"/>
  <c r="D17" i="11"/>
  <c r="D7" i="11"/>
  <c r="D8" i="11"/>
  <c r="D9" i="11"/>
  <c r="D10" i="11"/>
  <c r="D11" i="11"/>
  <c r="D12" i="11"/>
  <c r="D6" i="11"/>
  <c r="D13" i="34" l="1"/>
  <c r="D11" i="34"/>
  <c r="C13" i="34"/>
  <c r="C11" i="34"/>
  <c r="G11" i="34" s="1"/>
  <c r="E11" i="34" s="1"/>
  <c r="G10" i="34"/>
  <c r="F56" i="18"/>
  <c r="F55" i="18"/>
  <c r="F53" i="18"/>
  <c r="F26" i="29"/>
  <c r="H21" i="29"/>
  <c r="F21" i="29" s="1"/>
  <c r="H22" i="29"/>
  <c r="F22" i="29" s="1"/>
  <c r="H26" i="29"/>
  <c r="H27" i="29"/>
  <c r="F27" i="29" s="1"/>
  <c r="D28" i="29"/>
  <c r="D27" i="29"/>
  <c r="D26" i="29"/>
  <c r="D24" i="29"/>
  <c r="D23" i="29"/>
  <c r="D25" i="29" s="1"/>
  <c r="D29" i="29" s="1"/>
  <c r="D22" i="29"/>
  <c r="D21" i="29"/>
  <c r="D20" i="29"/>
  <c r="H20" i="29" s="1"/>
  <c r="F20" i="29" s="1"/>
  <c r="C28" i="29"/>
  <c r="H28" i="29" s="1"/>
  <c r="F28" i="29" s="1"/>
  <c r="C27" i="29"/>
  <c r="C26" i="29"/>
  <c r="C24" i="29"/>
  <c r="H24" i="29" s="1"/>
  <c r="F24" i="29" s="1"/>
  <c r="C22" i="29"/>
  <c r="C21" i="29"/>
  <c r="C20" i="29"/>
  <c r="D13" i="29"/>
  <c r="D12" i="29"/>
  <c r="D11" i="29"/>
  <c r="D10" i="29"/>
  <c r="D8" i="29"/>
  <c r="D6" i="29"/>
  <c r="D5" i="29"/>
  <c r="D4" i="29"/>
  <c r="C13" i="29"/>
  <c r="C12" i="29"/>
  <c r="C11" i="29"/>
  <c r="C10" i="29"/>
  <c r="C8" i="29"/>
  <c r="C6" i="29"/>
  <c r="C5" i="29"/>
  <c r="C4" i="29"/>
  <c r="H4" i="29" s="1"/>
  <c r="C56" i="23"/>
  <c r="G13" i="34" l="1"/>
  <c r="E13" i="34" s="1"/>
  <c r="D7" i="29"/>
  <c r="D9" i="29" s="1"/>
  <c r="D14" i="29" s="1"/>
  <c r="C23" i="29"/>
  <c r="H23" i="29" s="1"/>
  <c r="F23" i="29" s="1"/>
  <c r="C25" i="29"/>
  <c r="D9" i="23"/>
  <c r="E8" i="23"/>
  <c r="J8" i="23"/>
  <c r="J5" i="23"/>
  <c r="J4" i="23"/>
  <c r="J3" i="23"/>
  <c r="H25" i="29" l="1"/>
  <c r="F25" i="29" s="1"/>
  <c r="C29" i="29"/>
  <c r="H29" i="29" s="1"/>
  <c r="F29" i="29" s="1"/>
  <c r="E54" i="13"/>
  <c r="D41" i="13"/>
  <c r="E41" i="13"/>
  <c r="D42" i="13"/>
  <c r="E42" i="13"/>
  <c r="D43" i="13"/>
  <c r="E43" i="13"/>
  <c r="D45" i="13"/>
  <c r="E45" i="13"/>
  <c r="D46" i="13"/>
  <c r="E46" i="13"/>
  <c r="E47" i="13"/>
  <c r="E39" i="13"/>
  <c r="D39" i="13"/>
  <c r="E37" i="13"/>
  <c r="D37" i="13"/>
  <c r="E33" i="13"/>
  <c r="E34" i="13"/>
  <c r="E35" i="13"/>
  <c r="E32" i="13"/>
  <c r="E28" i="13"/>
  <c r="E25" i="13"/>
  <c r="E17" i="13"/>
  <c r="E16" i="13"/>
  <c r="D16" i="13"/>
  <c r="E11" i="13"/>
  <c r="D13" i="13"/>
  <c r="E13" i="13"/>
  <c r="E5" i="13"/>
  <c r="E6" i="13"/>
  <c r="E7" i="13"/>
  <c r="D5" i="13"/>
  <c r="D6" i="13"/>
  <c r="D7" i="13"/>
  <c r="G26" i="12"/>
  <c r="F26" i="12"/>
  <c r="E26" i="12"/>
  <c r="D26" i="12"/>
  <c r="G19" i="12"/>
  <c r="D12" i="34" s="1"/>
  <c r="F19" i="12"/>
  <c r="C12" i="34" s="1"/>
  <c r="G12" i="34" s="1"/>
  <c r="E12" i="34" s="1"/>
  <c r="E19" i="12"/>
  <c r="D19" i="12"/>
  <c r="D13" i="12"/>
  <c r="E13" i="12"/>
  <c r="F13" i="12"/>
  <c r="G13" i="12"/>
  <c r="D14" i="12"/>
  <c r="E14" i="12"/>
  <c r="D7" i="32" s="1"/>
  <c r="F14" i="12"/>
  <c r="G14" i="12"/>
  <c r="D15" i="12"/>
  <c r="E15" i="12"/>
  <c r="F15" i="12"/>
  <c r="G15" i="12"/>
  <c r="D16" i="12"/>
  <c r="E16" i="12"/>
  <c r="F16" i="12"/>
  <c r="G16" i="12"/>
  <c r="D17" i="12"/>
  <c r="E17" i="12"/>
  <c r="F17" i="12"/>
  <c r="G17" i="12"/>
  <c r="G12" i="12"/>
  <c r="F12" i="12"/>
  <c r="E12" i="12"/>
  <c r="D12" i="12"/>
  <c r="E5" i="12"/>
  <c r="F5" i="12"/>
  <c r="C4" i="34" s="1"/>
  <c r="G5" i="12"/>
  <c r="D4" i="34" s="1"/>
  <c r="E6" i="12"/>
  <c r="D4" i="32" s="1"/>
  <c r="F6" i="12"/>
  <c r="G6" i="12"/>
  <c r="E7" i="12"/>
  <c r="D5" i="32" s="1"/>
  <c r="F7" i="12"/>
  <c r="G7" i="12"/>
  <c r="E8" i="12"/>
  <c r="D9" i="32" s="1"/>
  <c r="F8" i="12"/>
  <c r="C7" i="34" s="1"/>
  <c r="G7" i="34" s="1"/>
  <c r="E7" i="34" s="1"/>
  <c r="G8" i="12"/>
  <c r="D7" i="34" s="1"/>
  <c r="E9" i="12"/>
  <c r="D6" i="32" s="1"/>
  <c r="F9" i="12"/>
  <c r="G9" i="12"/>
  <c r="E10" i="12"/>
  <c r="F10" i="12"/>
  <c r="C9" i="34" s="1"/>
  <c r="G10" i="12"/>
  <c r="D9" i="34" s="1"/>
  <c r="D6" i="12"/>
  <c r="D7" i="12"/>
  <c r="D8" i="12"/>
  <c r="D9" i="12"/>
  <c r="D10" i="12"/>
  <c r="D5" i="12"/>
  <c r="E64" i="11"/>
  <c r="D63" i="11"/>
  <c r="E59" i="11"/>
  <c r="E61" i="11"/>
  <c r="E62" i="11"/>
  <c r="E58" i="11"/>
  <c r="E63" i="11" s="1"/>
  <c r="E47" i="11"/>
  <c r="E48" i="11"/>
  <c r="E49" i="11"/>
  <c r="E50" i="11"/>
  <c r="E51" i="11"/>
  <c r="E52" i="11"/>
  <c r="E53" i="11"/>
  <c r="E35" i="11"/>
  <c r="E36" i="11"/>
  <c r="E37" i="11"/>
  <c r="E38" i="11"/>
  <c r="E39" i="11"/>
  <c r="E40" i="11"/>
  <c r="E41" i="11"/>
  <c r="E34" i="11"/>
  <c r="G9" i="34" l="1"/>
  <c r="E9" i="34" s="1"/>
  <c r="D5" i="34"/>
  <c r="D6" i="34" s="1"/>
  <c r="D8" i="34" s="1"/>
  <c r="D14" i="34" s="1"/>
  <c r="C5" i="34"/>
  <c r="G5" i="34" s="1"/>
  <c r="E5" i="34" s="1"/>
  <c r="G4" i="34"/>
  <c r="E4" i="34" s="1"/>
  <c r="C6" i="34" l="1"/>
  <c r="C8" i="34"/>
  <c r="C14" i="34" s="1"/>
  <c r="G6" i="34"/>
  <c r="E6" i="34" s="1"/>
  <c r="G8" i="34" l="1"/>
  <c r="E8" i="34" s="1"/>
  <c r="G14" i="34" l="1"/>
  <c r="E14" i="34" s="1"/>
  <c r="E18" i="11" l="1"/>
  <c r="E19" i="11"/>
  <c r="E20" i="11"/>
  <c r="E21" i="11"/>
  <c r="E22" i="11"/>
  <c r="E23" i="11"/>
  <c r="E24" i="11"/>
  <c r="E25" i="11"/>
  <c r="E17" i="11"/>
  <c r="D10" i="13" l="1"/>
  <c r="D54" i="13" l="1"/>
  <c r="E26" i="11" l="1"/>
  <c r="E7" i="11"/>
  <c r="D14" i="13" l="1"/>
  <c r="E12" i="11" l="1"/>
  <c r="E11" i="11"/>
  <c r="E6" i="11"/>
  <c r="E14" i="11" l="1"/>
  <c r="E8" i="11"/>
  <c r="E9" i="11" l="1"/>
  <c r="E10" i="11"/>
  <c r="E13" i="11" l="1"/>
  <c r="E15" i="11" s="1"/>
  <c r="E28" i="11" s="1"/>
  <c r="D8" i="13"/>
  <c r="D11" i="13"/>
  <c r="D19" i="13"/>
  <c r="D20" i="13"/>
  <c r="D25" i="13"/>
  <c r="D26" i="13"/>
  <c r="D27" i="13"/>
  <c r="D28" i="13"/>
  <c r="D29" i="13"/>
  <c r="D36" i="13"/>
  <c r="D40" i="13"/>
  <c r="D44" i="13"/>
  <c r="D47" i="13"/>
  <c r="D35" i="13" l="1"/>
  <c r="D34" i="13"/>
  <c r="D33" i="13"/>
  <c r="D32" i="13"/>
  <c r="D17" i="13"/>
  <c r="D18" i="13"/>
  <c r="D4" i="13"/>
  <c r="D21" i="13"/>
  <c r="D12" i="13"/>
  <c r="D30" i="13" l="1"/>
  <c r="L5" i="12" l="1"/>
  <c r="M5" i="12" s="1"/>
  <c r="J5" i="12"/>
  <c r="I5" i="12"/>
  <c r="C45" i="23"/>
  <c r="B50" i="23"/>
  <c r="O77" i="18"/>
  <c r="N77" i="18"/>
  <c r="P77" i="18" s="1"/>
  <c r="P76" i="18"/>
  <c r="P75" i="18"/>
  <c r="P74" i="18"/>
  <c r="P73" i="18"/>
  <c r="P72" i="18"/>
  <c r="O72" i="18"/>
  <c r="N72" i="18"/>
  <c r="C56" i="18"/>
  <c r="C55" i="18"/>
  <c r="P68" i="18"/>
  <c r="P67" i="18"/>
  <c r="O66" i="18"/>
  <c r="N66" i="18"/>
  <c r="P64" i="18"/>
  <c r="P63" i="18"/>
  <c r="P62" i="18"/>
  <c r="P61" i="18"/>
  <c r="O60" i="18"/>
  <c r="N60" i="18"/>
  <c r="D8" i="32" l="1"/>
  <c r="D10" i="32" s="1"/>
  <c r="E97" i="18" l="1"/>
  <c r="D97" i="18"/>
  <c r="C97" i="18"/>
  <c r="F97" i="18"/>
  <c r="G4" i="13" l="1"/>
  <c r="G6" i="11"/>
  <c r="J6" i="12"/>
  <c r="J7" i="12"/>
  <c r="J8" i="12"/>
  <c r="J9" i="12"/>
  <c r="J10" i="12"/>
  <c r="I9" i="18" s="1"/>
  <c r="J12" i="12"/>
  <c r="J13" i="12"/>
  <c r="J14" i="12"/>
  <c r="J15" i="12"/>
  <c r="J16" i="12"/>
  <c r="J17" i="12"/>
  <c r="J19" i="12"/>
  <c r="I12" i="18" s="1"/>
  <c r="J21" i="12"/>
  <c r="J22" i="12"/>
  <c r="J24" i="12"/>
  <c r="J26" i="12"/>
  <c r="I13" i="18" s="1"/>
  <c r="J28" i="12"/>
  <c r="I7" i="12"/>
  <c r="I8" i="12"/>
  <c r="I9" i="12"/>
  <c r="I10" i="12"/>
  <c r="I12" i="12"/>
  <c r="I13" i="12"/>
  <c r="I14" i="12"/>
  <c r="I15" i="12"/>
  <c r="I16" i="12"/>
  <c r="I17" i="12"/>
  <c r="I19" i="12"/>
  <c r="I22" i="12"/>
  <c r="I24" i="12"/>
  <c r="I26" i="12"/>
  <c r="I6" i="12"/>
  <c r="L6" i="12"/>
  <c r="F26" i="18"/>
  <c r="D29" i="18"/>
  <c r="C29" i="18"/>
  <c r="D28" i="18"/>
  <c r="C28" i="18"/>
  <c r="F28" i="18" s="1"/>
  <c r="E28" i="18" s="1"/>
  <c r="D27" i="18"/>
  <c r="C27" i="18"/>
  <c r="D25" i="18"/>
  <c r="C25" i="18"/>
  <c r="D23" i="18"/>
  <c r="C23" i="18"/>
  <c r="F23" i="18" s="1"/>
  <c r="E23" i="18" s="1"/>
  <c r="D21" i="18"/>
  <c r="C21" i="18"/>
  <c r="F21" i="18" s="1"/>
  <c r="E21" i="18" s="1"/>
  <c r="D20" i="18"/>
  <c r="C20" i="18"/>
  <c r="G11" i="12"/>
  <c r="G18" i="12" s="1"/>
  <c r="G20" i="12" s="1"/>
  <c r="G23" i="12" s="1"/>
  <c r="G25" i="12" s="1"/>
  <c r="D15" i="34" s="1"/>
  <c r="F11" i="12"/>
  <c r="J11" i="12" s="1"/>
  <c r="J13" i="18"/>
  <c r="J12" i="18"/>
  <c r="J11" i="18"/>
  <c r="J9" i="18"/>
  <c r="J7" i="18"/>
  <c r="I7" i="18"/>
  <c r="J4" i="18"/>
  <c r="I4" i="18"/>
  <c r="B21" i="18"/>
  <c r="B22" i="18"/>
  <c r="B23" i="18"/>
  <c r="B24" i="18"/>
  <c r="B25" i="18"/>
  <c r="B26" i="18"/>
  <c r="B27" i="18"/>
  <c r="B28" i="18"/>
  <c r="B29" i="18"/>
  <c r="B30" i="18"/>
  <c r="B32" i="18"/>
  <c r="B20" i="18"/>
  <c r="C15" i="32"/>
  <c r="D22" i="18" l="1"/>
  <c r="D24" i="18" s="1"/>
  <c r="D30" i="18" s="1"/>
  <c r="I5" i="18"/>
  <c r="I11" i="18"/>
  <c r="F27" i="18"/>
  <c r="E27" i="18" s="1"/>
  <c r="G27" i="12"/>
  <c r="G29" i="12"/>
  <c r="G30" i="12" s="1"/>
  <c r="F18" i="12"/>
  <c r="F29" i="18"/>
  <c r="E29" i="18" s="1"/>
  <c r="F25" i="18"/>
  <c r="E25" i="18" s="1"/>
  <c r="F20" i="18"/>
  <c r="E20" i="18" s="1"/>
  <c r="C22" i="18"/>
  <c r="I6" i="18"/>
  <c r="I8" i="18" s="1"/>
  <c r="I14" i="18" s="1"/>
  <c r="F20" i="12" l="1"/>
  <c r="J18" i="12"/>
  <c r="C24" i="18"/>
  <c r="F22" i="18"/>
  <c r="E22" i="18" s="1"/>
  <c r="F23" i="12" l="1"/>
  <c r="J20" i="12"/>
  <c r="C30" i="18"/>
  <c r="F30" i="18" s="1"/>
  <c r="E30" i="18" s="1"/>
  <c r="F24" i="18"/>
  <c r="E24" i="18" s="1"/>
  <c r="F25" i="12" l="1"/>
  <c r="C15" i="34" s="1"/>
  <c r="J23" i="12"/>
  <c r="F54" i="18"/>
  <c r="I56" i="18"/>
  <c r="C54" i="18"/>
  <c r="C53" i="18"/>
  <c r="F27" i="12" l="1"/>
  <c r="J27" i="12" s="1"/>
  <c r="J25" i="12"/>
  <c r="F29" i="12"/>
  <c r="C3" i="8"/>
  <c r="D47" i="4"/>
  <c r="C47" i="4"/>
  <c r="J29" i="12" l="1"/>
  <c r="F30" i="12"/>
  <c r="J30" i="12" s="1"/>
  <c r="E27" i="4" l="1"/>
  <c r="D14" i="11"/>
  <c r="E9" i="13" l="1"/>
  <c r="D15" i="13"/>
  <c r="D9" i="13"/>
  <c r="L50" i="4" l="1"/>
  <c r="M50" i="4" s="1"/>
  <c r="L44" i="4"/>
  <c r="L43" i="4"/>
  <c r="L40" i="4"/>
  <c r="L39" i="4"/>
  <c r="D3" i="8" l="1"/>
  <c r="E3" i="15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C3" i="10" s="1"/>
  <c r="E73" i="4" s="1"/>
  <c r="E51" i="4"/>
  <c r="F32" i="4"/>
  <c r="F31" i="4"/>
  <c r="F30" i="4"/>
  <c r="F29" i="4"/>
  <c r="F28" i="4"/>
  <c r="F27" i="4"/>
  <c r="F20" i="4"/>
  <c r="C10" i="10" s="1"/>
  <c r="F25" i="4"/>
  <c r="F24" i="4"/>
  <c r="F23" i="4"/>
  <c r="F22" i="4"/>
  <c r="F21" i="4"/>
  <c r="C17" i="10" s="1"/>
  <c r="F19" i="4"/>
  <c r="F18" i="4"/>
  <c r="F13" i="4"/>
  <c r="F12" i="4"/>
  <c r="F11" i="4"/>
  <c r="F10" i="4"/>
  <c r="F7" i="4"/>
  <c r="F6" i="4"/>
  <c r="B19" i="10" l="1"/>
  <c r="B18" i="10"/>
  <c r="B17" i="10"/>
  <c r="B13" i="10"/>
  <c r="B20" i="10" s="1"/>
  <c r="B12" i="10"/>
  <c r="B11" i="10"/>
  <c r="B10" i="10"/>
  <c r="E15" i="13" l="1"/>
  <c r="G9" i="23"/>
  <c r="F9" i="23"/>
  <c r="B16" i="23"/>
  <c r="B14" i="23"/>
  <c r="B13" i="23"/>
  <c r="H9" i="23"/>
  <c r="J6" i="23"/>
  <c r="D6" i="23"/>
  <c r="G7" i="23"/>
  <c r="H13" i="23" l="1"/>
  <c r="D5" i="23"/>
  <c r="D15" i="23" s="1"/>
  <c r="E7" i="23"/>
  <c r="D4" i="23"/>
  <c r="H7" i="23"/>
  <c r="H10" i="23" s="1"/>
  <c r="F7" i="23"/>
  <c r="F10" i="23" s="1"/>
  <c r="G10" i="23"/>
  <c r="H14" i="23"/>
  <c r="D3" i="23"/>
  <c r="K4" i="23" l="1"/>
  <c r="D7" i="23"/>
  <c r="D10" i="23" s="1"/>
  <c r="C13" i="23" s="1"/>
  <c r="C44" i="23"/>
  <c r="C43" i="23"/>
  <c r="C54" i="23" s="1"/>
  <c r="C46" i="23"/>
  <c r="C49" i="23"/>
  <c r="C47" i="23"/>
  <c r="C48" i="23"/>
  <c r="D14" i="23"/>
  <c r="K5" i="23"/>
  <c r="H15" i="23"/>
  <c r="D13" i="23"/>
  <c r="K3" i="23"/>
  <c r="C60" i="23" l="1"/>
  <c r="C61" i="23"/>
  <c r="C57" i="23"/>
  <c r="C59" i="23"/>
  <c r="C58" i="23"/>
  <c r="C53" i="23"/>
  <c r="C55" i="23" s="1"/>
  <c r="C50" i="23"/>
  <c r="C62" i="23" l="1"/>
  <c r="L17" i="12"/>
  <c r="M17" i="12" s="1"/>
  <c r="L22" i="12"/>
  <c r="M22" i="12" s="1"/>
  <c r="L24" i="12"/>
  <c r="M24" i="12" s="1"/>
  <c r="G60" i="18"/>
  <c r="E60" i="18" s="1"/>
  <c r="D45" i="33" l="1"/>
  <c r="D44" i="33"/>
  <c r="D43" i="33"/>
  <c r="D42" i="33"/>
  <c r="D41" i="33"/>
  <c r="C45" i="33"/>
  <c r="C42" i="33"/>
  <c r="C43" i="33"/>
  <c r="C41" i="33"/>
  <c r="D13" i="18"/>
  <c r="D23" i="33"/>
  <c r="D19" i="33"/>
  <c r="L24" i="4"/>
  <c r="C20" i="33" l="1"/>
  <c r="C21" i="33"/>
  <c r="D20" i="33"/>
  <c r="D21" i="33"/>
  <c r="L15" i="12"/>
  <c r="M15" i="12" s="1"/>
  <c r="L7" i="12"/>
  <c r="M7" i="12" s="1"/>
  <c r="L16" i="12"/>
  <c r="M16" i="12" s="1"/>
  <c r="L19" i="12"/>
  <c r="M19" i="12" s="1"/>
  <c r="C19" i="33"/>
  <c r="D22" i="33"/>
  <c r="C5" i="18"/>
  <c r="M6" i="12"/>
  <c r="L9" i="12"/>
  <c r="M9" i="12" s="1"/>
  <c r="L26" i="12"/>
  <c r="M26" i="12" s="1"/>
  <c r="C13" i="18"/>
  <c r="C7" i="32"/>
  <c r="F7" i="32" s="1"/>
  <c r="L14" i="12"/>
  <c r="M14" i="12" s="1"/>
  <c r="C22" i="33"/>
  <c r="L13" i="12"/>
  <c r="M13" i="12" s="1"/>
  <c r="L8" i="12"/>
  <c r="M8" i="12" s="1"/>
  <c r="L10" i="12"/>
  <c r="M10" i="12" s="1"/>
  <c r="D4" i="18"/>
  <c r="L4" i="18" s="1"/>
  <c r="L12" i="12"/>
  <c r="M12" i="12" s="1"/>
  <c r="D5" i="18"/>
  <c r="C23" i="33"/>
  <c r="D46" i="33"/>
  <c r="E7" i="32" l="1"/>
  <c r="H7" i="32"/>
  <c r="C25" i="33"/>
  <c r="D3" i="18" l="1"/>
  <c r="C3" i="18"/>
  <c r="D64" i="4"/>
  <c r="C61" i="4"/>
  <c r="D12" i="33"/>
  <c r="C60" i="4" l="1"/>
  <c r="C59" i="4"/>
  <c r="D58" i="4"/>
  <c r="D59" i="4"/>
  <c r="D60" i="4"/>
  <c r="C58" i="4"/>
  <c r="D61" i="4"/>
  <c r="C62" i="4"/>
  <c r="D62" i="4"/>
  <c r="E21" i="12"/>
  <c r="D21" i="12"/>
  <c r="I21" i="12" s="1"/>
  <c r="K7" i="12"/>
  <c r="D11" i="12"/>
  <c r="L21" i="12" l="1"/>
  <c r="M21" i="12" s="1"/>
  <c r="K6" i="12"/>
  <c r="J5" i="18" s="1"/>
  <c r="J6" i="18" s="1"/>
  <c r="J8" i="18" s="1"/>
  <c r="J14" i="18" s="1"/>
  <c r="D69" i="4"/>
  <c r="D67" i="4"/>
  <c r="D18" i="12"/>
  <c r="D22" i="32" l="1"/>
  <c r="C22" i="32"/>
  <c r="F22" i="32" l="1"/>
  <c r="E22" i="32" s="1"/>
  <c r="I67" i="18" l="1"/>
  <c r="I66" i="18"/>
  <c r="I64" i="18"/>
  <c r="I63" i="18"/>
  <c r="I62" i="18"/>
  <c r="I61" i="18"/>
  <c r="I60" i="18"/>
  <c r="I54" i="18" l="1"/>
  <c r="I55" i="18"/>
  <c r="I53" i="18"/>
  <c r="I57" i="18" l="1"/>
  <c r="D19" i="32"/>
  <c r="D18" i="32"/>
  <c r="D17" i="32"/>
  <c r="D16" i="32"/>
  <c r="C19" i="32"/>
  <c r="C18" i="32"/>
  <c r="C17" i="32"/>
  <c r="C16" i="32"/>
  <c r="C21" i="32"/>
  <c r="C6" i="32"/>
  <c r="F6" i="32" s="1"/>
  <c r="F18" i="32" l="1"/>
  <c r="E18" i="32" s="1"/>
  <c r="F19" i="32"/>
  <c r="E19" i="32" s="1"/>
  <c r="F17" i="32"/>
  <c r="E17" i="32" s="1"/>
  <c r="F16" i="32"/>
  <c r="E16" i="32" s="1"/>
  <c r="D21" i="32"/>
  <c r="D20" i="32"/>
  <c r="C20" i="32"/>
  <c r="F20" i="32" l="1"/>
  <c r="E20" i="32" s="1"/>
  <c r="F21" i="32"/>
  <c r="H6" i="32"/>
  <c r="E6" i="32"/>
  <c r="F35" i="13"/>
  <c r="F34" i="13"/>
  <c r="F33" i="13"/>
  <c r="F32" i="13"/>
  <c r="F31" i="13"/>
  <c r="F30" i="13"/>
  <c r="E28" i="12"/>
  <c r="D28" i="12"/>
  <c r="I28" i="12" s="1"/>
  <c r="C4" i="32"/>
  <c r="C5" i="32"/>
  <c r="F5" i="32" s="1"/>
  <c r="C9" i="32"/>
  <c r="G59" i="11"/>
  <c r="C8" i="32" l="1"/>
  <c r="F8" i="32" s="1"/>
  <c r="F9" i="32"/>
  <c r="E9" i="32" s="1"/>
  <c r="F4" i="32"/>
  <c r="H5" i="32"/>
  <c r="E5" i="32"/>
  <c r="H9" i="32" l="1"/>
  <c r="C10" i="32"/>
  <c r="F10" i="32" s="1"/>
  <c r="E8" i="32"/>
  <c r="H8" i="32"/>
  <c r="E4" i="32"/>
  <c r="H4" i="32"/>
  <c r="E10" i="32" l="1"/>
  <c r="H10" i="32"/>
  <c r="F14" i="4" l="1"/>
  <c r="F8" i="4"/>
  <c r="L23" i="4"/>
  <c r="L40" i="11" l="1"/>
  <c r="J73" i="18" l="1"/>
  <c r="J74" i="18"/>
  <c r="J75" i="18"/>
  <c r="J76" i="18"/>
  <c r="J72" i="18"/>
  <c r="E72" i="18" s="1"/>
  <c r="F33" i="4" l="1"/>
  <c r="G61" i="18" l="1"/>
  <c r="E61" i="18" s="1"/>
  <c r="G62" i="18"/>
  <c r="E62" i="18" s="1"/>
  <c r="G63" i="18"/>
  <c r="E63" i="18" s="1"/>
  <c r="C14" i="11" l="1"/>
  <c r="G36" i="11" l="1"/>
  <c r="G14" i="11"/>
  <c r="D11" i="18" l="1"/>
  <c r="C11" i="18"/>
  <c r="H13" i="29" l="1"/>
  <c r="F13" i="29" s="1"/>
  <c r="G13" i="13" l="1"/>
  <c r="L10" i="4"/>
  <c r="C7" i="29" l="1"/>
  <c r="C9" i="29" l="1"/>
  <c r="H12" i="29"/>
  <c r="F12" i="29" s="1"/>
  <c r="H11" i="29"/>
  <c r="F11" i="29" s="1"/>
  <c r="H10" i="29"/>
  <c r="H9" i="29"/>
  <c r="F9" i="29" s="1"/>
  <c r="H8" i="29"/>
  <c r="F8" i="29" s="1"/>
  <c r="H7" i="29"/>
  <c r="F7" i="29" s="1"/>
  <c r="H6" i="29"/>
  <c r="F6" i="29" s="1"/>
  <c r="H5" i="29"/>
  <c r="F5" i="29" s="1"/>
  <c r="C14" i="29" l="1"/>
  <c r="G10" i="24"/>
  <c r="H14" i="29" l="1"/>
  <c r="F14" i="29" s="1"/>
  <c r="D31" i="13"/>
  <c r="F10" i="18" l="1"/>
  <c r="D22" i="13"/>
  <c r="E22" i="13"/>
  <c r="C67" i="4" l="1"/>
  <c r="C64" i="4"/>
  <c r="E32" i="4" l="1"/>
  <c r="D32" i="4"/>
  <c r="C50" i="18" l="1"/>
  <c r="G23" i="13" l="1"/>
  <c r="H23" i="13" s="1"/>
  <c r="F13" i="18"/>
  <c r="E13" i="18" s="1"/>
  <c r="G13" i="24"/>
  <c r="E13" i="24" s="1"/>
  <c r="G48" i="13"/>
  <c r="H48" i="13" s="1"/>
  <c r="C68" i="4"/>
  <c r="D68" i="4"/>
  <c r="E31" i="13"/>
  <c r="G67" i="18" l="1"/>
  <c r="E67" i="18" s="1"/>
  <c r="G66" i="18"/>
  <c r="E66" i="18" s="1"/>
  <c r="D12" i="18" l="1"/>
  <c r="C12" i="18"/>
  <c r="D9" i="18"/>
  <c r="C9" i="18"/>
  <c r="D7" i="18"/>
  <c r="C7" i="18"/>
  <c r="C4" i="18"/>
  <c r="K4" i="18" s="1"/>
  <c r="C6" i="18" l="1"/>
  <c r="K6" i="18" s="1"/>
  <c r="F4" i="18"/>
  <c r="D6" i="18"/>
  <c r="L6" i="18" s="1"/>
  <c r="E11" i="12"/>
  <c r="I11" i="12" s="1"/>
  <c r="C57" i="18"/>
  <c r="F57" i="18"/>
  <c r="G54" i="18" l="1"/>
  <c r="G55" i="18"/>
  <c r="G56" i="18"/>
  <c r="G53" i="18"/>
  <c r="D53" i="18"/>
  <c r="D55" i="18"/>
  <c r="D56" i="18"/>
  <c r="D54" i="18"/>
  <c r="L11" i="12"/>
  <c r="M11" i="12" s="1"/>
  <c r="D8" i="18"/>
  <c r="D14" i="18" s="1"/>
  <c r="L14" i="18" s="1"/>
  <c r="C8" i="18"/>
  <c r="C14" i="18" s="1"/>
  <c r="K14" i="18" s="1"/>
  <c r="E4" i="18"/>
  <c r="F5" i="18"/>
  <c r="E5" i="18" s="1"/>
  <c r="F7" i="18"/>
  <c r="E7" i="18" s="1"/>
  <c r="F9" i="18"/>
  <c r="G13" i="18" s="1"/>
  <c r="F11" i="18"/>
  <c r="F12" i="18"/>
  <c r="E12" i="18" s="1"/>
  <c r="G57" i="18" l="1"/>
  <c r="F14" i="18"/>
  <c r="D57" i="18"/>
  <c r="E11" i="18"/>
  <c r="F6" i="18"/>
  <c r="F8" i="18"/>
  <c r="E8" i="18" s="1"/>
  <c r="E6" i="18" l="1"/>
  <c r="G14" i="18"/>
  <c r="E18" i="12"/>
  <c r="I18" i="12" s="1"/>
  <c r="L18" i="12" l="1"/>
  <c r="M18" i="12" s="1"/>
  <c r="H17" i="13"/>
  <c r="H16" i="13"/>
  <c r="G11" i="8" l="1"/>
  <c r="G7" i="8"/>
  <c r="D50" i="4" l="1"/>
  <c r="D2" i="13"/>
  <c r="C3" i="17" s="1"/>
  <c r="E2" i="13"/>
  <c r="D3" i="17" s="1"/>
  <c r="E38" i="13"/>
  <c r="E49" i="13" s="1"/>
  <c r="E31" i="11"/>
  <c r="D31" i="11"/>
  <c r="E24" i="13" l="1"/>
  <c r="D24" i="13"/>
  <c r="D38" i="13"/>
  <c r="D49" i="13" s="1"/>
  <c r="D50" i="13" l="1"/>
  <c r="G24" i="13"/>
  <c r="D6" i="24" l="1"/>
  <c r="D8" i="24" s="1"/>
  <c r="C6" i="24"/>
  <c r="C8" i="24" s="1"/>
  <c r="G5" i="13" l="1"/>
  <c r="G6" i="13" l="1"/>
  <c r="E73" i="18" l="1"/>
  <c r="E74" i="18"/>
  <c r="E75" i="18"/>
  <c r="E20" i="12" l="1"/>
  <c r="D20" i="12"/>
  <c r="I20" i="12" s="1"/>
  <c r="L20" i="12" l="1"/>
  <c r="M20" i="12" s="1"/>
  <c r="D23" i="12"/>
  <c r="E23" i="12"/>
  <c r="E71" i="18"/>
  <c r="I23" i="12" l="1"/>
  <c r="L23" i="12"/>
  <c r="M23" i="12" s="1"/>
  <c r="D25" i="12"/>
  <c r="D34" i="12" s="1"/>
  <c r="D36" i="12" s="1"/>
  <c r="E25" i="12"/>
  <c r="H3" i="29"/>
  <c r="D3" i="29"/>
  <c r="D19" i="29" s="1"/>
  <c r="C3" i="29"/>
  <c r="C19" i="29" s="1"/>
  <c r="D29" i="12" l="1"/>
  <c r="I25" i="12"/>
  <c r="E29" i="12"/>
  <c r="E30" i="12" s="1"/>
  <c r="D27" i="12"/>
  <c r="L25" i="12"/>
  <c r="M25" i="12" s="1"/>
  <c r="C26" i="33"/>
  <c r="E27" i="12"/>
  <c r="E14" i="18"/>
  <c r="H19" i="29"/>
  <c r="I27" i="12" l="1"/>
  <c r="D30" i="12"/>
  <c r="I30" i="12" s="1"/>
  <c r="I29" i="12"/>
  <c r="L27" i="12"/>
  <c r="M27" i="12" s="1"/>
  <c r="G9" i="24"/>
  <c r="E9" i="24" s="1"/>
  <c r="G11" i="24"/>
  <c r="E11" i="24" s="1"/>
  <c r="G12" i="24"/>
  <c r="E12" i="24" s="1"/>
  <c r="F4" i="29" l="1"/>
  <c r="C69" i="4" l="1"/>
  <c r="E24" i="4"/>
  <c r="D24" i="4"/>
  <c r="J27" i="4" s="1"/>
  <c r="P51" i="4"/>
  <c r="E21" i="4"/>
  <c r="D21" i="4"/>
  <c r="J28" i="4" s="1"/>
  <c r="D56" i="4"/>
  <c r="C56" i="4"/>
  <c r="D54" i="4"/>
  <c r="E25" i="4" s="1"/>
  <c r="C54" i="4"/>
  <c r="D25" i="4" s="1"/>
  <c r="J29" i="4" s="1"/>
  <c r="D53" i="4"/>
  <c r="C53" i="4"/>
  <c r="D52" i="4"/>
  <c r="C52" i="4"/>
  <c r="D51" i="4"/>
  <c r="C51" i="4"/>
  <c r="P47" i="4"/>
  <c r="E16" i="15"/>
  <c r="J50" i="4"/>
  <c r="K50" i="4" s="1"/>
  <c r="D29" i="4"/>
  <c r="D28" i="4"/>
  <c r="D27" i="4"/>
  <c r="P33" i="4"/>
  <c r="E29" i="4"/>
  <c r="E28" i="4"/>
  <c r="L30" i="4"/>
  <c r="L29" i="4"/>
  <c r="L27" i="4"/>
  <c r="C50" i="4"/>
  <c r="L4" i="4"/>
  <c r="J4" i="4"/>
  <c r="C63" i="4" l="1"/>
  <c r="L28" i="4"/>
  <c r="J30" i="4"/>
  <c r="D18" i="4"/>
  <c r="J35" i="4" s="1"/>
  <c r="C57" i="4"/>
  <c r="E18" i="4"/>
  <c r="L35" i="4" s="1"/>
  <c r="D63" i="4"/>
  <c r="D57" i="4"/>
  <c r="O50" i="4"/>
  <c r="P50" i="4"/>
  <c r="D19" i="4"/>
  <c r="E19" i="4"/>
  <c r="P35" i="4" l="1"/>
  <c r="C66" i="4"/>
  <c r="D66" i="4"/>
  <c r="D70" i="4" s="1"/>
  <c r="M23" i="4" l="1"/>
  <c r="E20" i="4"/>
  <c r="C11" i="10" s="1"/>
  <c r="D71" i="4"/>
  <c r="D73" i="4" s="1"/>
  <c r="D20" i="4"/>
  <c r="C12" i="10" s="1"/>
  <c r="C70" i="4"/>
  <c r="C71" i="4" s="1"/>
  <c r="C73" i="4" s="1"/>
  <c r="C4" i="10" l="1"/>
  <c r="C5" i="10"/>
  <c r="C13" i="10"/>
  <c r="E23" i="4"/>
  <c r="L26" i="4"/>
  <c r="L32" i="4" s="1"/>
  <c r="E22" i="4" s="1"/>
  <c r="D23" i="4"/>
  <c r="J26" i="4" s="1"/>
  <c r="J32" i="4" s="1"/>
  <c r="D22" i="4" s="1"/>
  <c r="G54" i="13"/>
  <c r="H54" i="13" s="1"/>
  <c r="G52" i="13"/>
  <c r="H52" i="13" s="1"/>
  <c r="G51" i="13"/>
  <c r="H51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H24" i="13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H13" i="13"/>
  <c r="G12" i="13"/>
  <c r="H12" i="13" s="1"/>
  <c r="G11" i="13"/>
  <c r="H11" i="13" s="1"/>
  <c r="G10" i="13"/>
  <c r="G9" i="13"/>
  <c r="H9" i="13" s="1"/>
  <c r="G8" i="13"/>
  <c r="H8" i="13" s="1"/>
  <c r="G7" i="13"/>
  <c r="H7" i="13" s="1"/>
  <c r="H36" i="13" l="1"/>
  <c r="G61" i="13"/>
  <c r="G63" i="13" s="1"/>
  <c r="H4" i="13"/>
  <c r="H10" i="13"/>
  <c r="L46" i="4"/>
  <c r="M46" i="4" s="1"/>
  <c r="E15" i="15" s="1"/>
  <c r="M32" i="4"/>
  <c r="G7" i="24"/>
  <c r="E7" i="24" s="1"/>
  <c r="G5" i="24" l="1"/>
  <c r="E5" i="24" s="1"/>
  <c r="G14" i="24" l="1"/>
  <c r="E14" i="24" s="1"/>
  <c r="G8" i="24"/>
  <c r="E8" i="24" s="1"/>
  <c r="G6" i="24"/>
  <c r="E6" i="24" s="1"/>
  <c r="D5" i="17"/>
  <c r="C5" i="17"/>
  <c r="L5" i="17" s="1"/>
  <c r="D59" i="18"/>
  <c r="C59" i="18"/>
  <c r="F50" i="18"/>
  <c r="G5" i="17" l="1"/>
  <c r="C4" i="17"/>
  <c r="L4" i="17" s="1"/>
  <c r="D4" i="17"/>
  <c r="G4" i="17" l="1"/>
  <c r="D65" i="18"/>
  <c r="D71" i="18" s="1"/>
  <c r="C65" i="18"/>
  <c r="C71" i="18" s="1"/>
  <c r="G4" i="24" l="1"/>
  <c r="E4" i="24" s="1"/>
  <c r="E76" i="18" l="1"/>
  <c r="E4" i="17" l="1"/>
  <c r="E5" i="17"/>
  <c r="D16" i="15"/>
  <c r="C18" i="10" l="1"/>
  <c r="C19" i="10"/>
  <c r="C20" i="10" l="1"/>
  <c r="J24" i="4" s="1"/>
  <c r="Q24" i="4" l="1"/>
  <c r="P24" i="4"/>
  <c r="J23" i="4"/>
  <c r="K23" i="4" l="1"/>
  <c r="C6" i="10"/>
  <c r="J39" i="4" s="1"/>
  <c r="Q39" i="4" s="1"/>
  <c r="J43" i="4" l="1"/>
  <c r="J46" i="4" s="1"/>
  <c r="P23" i="4"/>
  <c r="O23" i="4"/>
  <c r="Q23" i="4"/>
  <c r="P39" i="4" l="1"/>
  <c r="D11" i="15"/>
  <c r="Q43" i="4" l="1"/>
  <c r="K46" i="4"/>
  <c r="O46" i="4" s="1"/>
  <c r="P43" i="4"/>
  <c r="P46" i="4" l="1"/>
  <c r="D15" i="15"/>
  <c r="D12" i="4" l="1"/>
  <c r="C13" i="33" s="1"/>
  <c r="C13" i="8"/>
  <c r="D26" i="11" l="1"/>
  <c r="D13" i="11"/>
  <c r="D15" i="11" s="1"/>
  <c r="C4" i="8" s="1"/>
  <c r="D54" i="11" l="1"/>
  <c r="C9" i="8" s="1"/>
  <c r="D42" i="11"/>
  <c r="D7" i="4"/>
  <c r="C6" i="33" s="1"/>
  <c r="C5" i="8"/>
  <c r="C6" i="8" l="1"/>
  <c r="D11" i="4"/>
  <c r="D28" i="11"/>
  <c r="D6" i="4"/>
  <c r="C5" i="33" s="1"/>
  <c r="D44" i="11"/>
  <c r="C8" i="8"/>
  <c r="C10" i="8" s="1"/>
  <c r="J20" i="4" l="1"/>
  <c r="C11" i="33"/>
  <c r="J7" i="4"/>
  <c r="D8" i="4"/>
  <c r="D56" i="11"/>
  <c r="D10" i="4"/>
  <c r="C10" i="33" s="1"/>
  <c r="J14" i="4" l="1"/>
  <c r="J8" i="4"/>
  <c r="K7" i="4" s="1"/>
  <c r="J11" i="4"/>
  <c r="J17" i="4"/>
  <c r="J18" i="4"/>
  <c r="J21" i="4" l="1"/>
  <c r="D5" i="15"/>
  <c r="K17" i="4"/>
  <c r="K20" i="4" l="1"/>
  <c r="D9" i="15"/>
  <c r="D10" i="15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H6" i="1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40" i="11"/>
  <c r="H40" i="11" s="1"/>
  <c r="G47" i="11"/>
  <c r="H47" i="11" s="1"/>
  <c r="H59" i="11"/>
  <c r="H36" i="11" l="1"/>
  <c r="E42" i="11"/>
  <c r="E44" i="11" s="1"/>
  <c r="E54" i="11"/>
  <c r="G54" i="11" s="1"/>
  <c r="H54" i="11" s="1"/>
  <c r="E7" i="4"/>
  <c r="D6" i="33" s="1"/>
  <c r="E12" i="4"/>
  <c r="D13" i="33" s="1"/>
  <c r="D13" i="8"/>
  <c r="G64" i="11"/>
  <c r="H64" i="11" s="1"/>
  <c r="G58" i="11"/>
  <c r="H58" i="11" s="1"/>
  <c r="D8" i="8"/>
  <c r="D4" i="8"/>
  <c r="G4" i="8" s="1"/>
  <c r="G13" i="11"/>
  <c r="H13" i="11" s="1"/>
  <c r="D9" i="8" l="1"/>
  <c r="G9" i="8" s="1"/>
  <c r="E11" i="4"/>
  <c r="L20" i="4" s="1"/>
  <c r="G42" i="11"/>
  <c r="H42" i="11" s="1"/>
  <c r="G26" i="11"/>
  <c r="H26" i="11" s="1"/>
  <c r="D5" i="8"/>
  <c r="E5" i="8" s="1"/>
  <c r="E4" i="8"/>
  <c r="G28" i="11"/>
  <c r="H28" i="11" s="1"/>
  <c r="E6" i="4"/>
  <c r="D5" i="33" s="1"/>
  <c r="G15" i="11"/>
  <c r="H15" i="11" s="1"/>
  <c r="E65" i="11"/>
  <c r="E13" i="4"/>
  <c r="C12" i="33" s="1"/>
  <c r="D12" i="8"/>
  <c r="D14" i="8" s="1"/>
  <c r="E56" i="11"/>
  <c r="E10" i="4"/>
  <c r="D10" i="33" s="1"/>
  <c r="G44" i="11"/>
  <c r="G8" i="8"/>
  <c r="E8" i="8"/>
  <c r="E13" i="8"/>
  <c r="G13" i="8"/>
  <c r="P20" i="4" l="1"/>
  <c r="Q20" i="4"/>
  <c r="D10" i="8"/>
  <c r="D11" i="33"/>
  <c r="E9" i="8"/>
  <c r="H44" i="11"/>
  <c r="I44" i="11" s="1"/>
  <c r="I41" i="11"/>
  <c r="G5" i="8"/>
  <c r="D6" i="8"/>
  <c r="L7" i="4"/>
  <c r="E8" i="4"/>
  <c r="L11" i="4"/>
  <c r="L18" i="4"/>
  <c r="E14" i="4"/>
  <c r="L14" i="4"/>
  <c r="Q14" i="4" s="1"/>
  <c r="L8" i="4"/>
  <c r="L17" i="4"/>
  <c r="L15" i="4"/>
  <c r="E67" i="11"/>
  <c r="G56" i="11"/>
  <c r="H56" i="11" s="1"/>
  <c r="D15" i="8"/>
  <c r="G10" i="8"/>
  <c r="E10" i="8"/>
  <c r="M7" i="4" l="1"/>
  <c r="E6" i="8"/>
  <c r="G6" i="8"/>
  <c r="Q7" i="4"/>
  <c r="P7" i="4"/>
  <c r="M39" i="4"/>
  <c r="E13" i="15" s="1"/>
  <c r="P8" i="4"/>
  <c r="Q8" i="4"/>
  <c r="M10" i="4"/>
  <c r="P11" i="4"/>
  <c r="Q11" i="4"/>
  <c r="M14" i="4"/>
  <c r="E8" i="15" s="1"/>
  <c r="P14" i="4"/>
  <c r="E15" i="4"/>
  <c r="M43" i="4"/>
  <c r="E14" i="15" s="1"/>
  <c r="E69" i="11"/>
  <c r="M17" i="4"/>
  <c r="Q17" i="4"/>
  <c r="P17" i="4"/>
  <c r="L21" i="4"/>
  <c r="Q18" i="4"/>
  <c r="P18" i="4"/>
  <c r="D17" i="8"/>
  <c r="E5" i="15" l="1"/>
  <c r="O7" i="4"/>
  <c r="E9" i="15"/>
  <c r="E6" i="15"/>
  <c r="O17" i="4"/>
  <c r="M20" i="4"/>
  <c r="P21" i="4"/>
  <c r="Q21" i="4"/>
  <c r="P44" i="4"/>
  <c r="Q44" i="4"/>
  <c r="K43" i="4"/>
  <c r="E10" i="15" l="1"/>
  <c r="O20" i="4"/>
  <c r="O43" i="4"/>
  <c r="D14" i="15"/>
  <c r="D53" i="13" l="1"/>
  <c r="D30" i="4"/>
  <c r="D31" i="4" l="1"/>
  <c r="D33" i="4" s="1"/>
  <c r="C6" i="17"/>
  <c r="L6" i="17" s="1"/>
  <c r="D55" i="13"/>
  <c r="D57" i="13" l="1"/>
  <c r="D62" i="13"/>
  <c r="C7" i="17"/>
  <c r="L7" i="17" s="1"/>
  <c r="J10" i="4"/>
  <c r="C8" i="17"/>
  <c r="D34" i="4"/>
  <c r="C15" i="17" l="1"/>
  <c r="L8" i="17"/>
  <c r="C9" i="17"/>
  <c r="Q10" i="4"/>
  <c r="P10" i="4"/>
  <c r="K10" i="4"/>
  <c r="O10" i="4" s="1"/>
  <c r="D6" i="15" l="1"/>
  <c r="G46" i="13" l="1"/>
  <c r="H46" i="13" s="1"/>
  <c r="E50" i="13" l="1"/>
  <c r="G50" i="13" s="1"/>
  <c r="H50" i="13" s="1"/>
  <c r="G47" i="13" l="1"/>
  <c r="H47" i="13" s="1"/>
  <c r="E53" i="13" l="1"/>
  <c r="E30" i="4"/>
  <c r="G49" i="13"/>
  <c r="H49" i="13" s="1"/>
  <c r="E31" i="4" l="1"/>
  <c r="D6" i="17"/>
  <c r="E55" i="13"/>
  <c r="E57" i="13" s="1"/>
  <c r="G53" i="13"/>
  <c r="H53" i="13" s="1"/>
  <c r="G55" i="13" l="1"/>
  <c r="H55" i="13" s="1"/>
  <c r="E33" i="4"/>
  <c r="D8" i="17" s="1"/>
  <c r="D7" i="17"/>
  <c r="E6" i="17"/>
  <c r="G6" i="17"/>
  <c r="D15" i="17" l="1"/>
  <c r="G8" i="17"/>
  <c r="E8" i="17"/>
  <c r="G7" i="17"/>
  <c r="E7" i="17"/>
  <c r="E9" i="23" l="1"/>
  <c r="E10" i="23" s="1"/>
  <c r="D8" i="23"/>
  <c r="G13" i="23" l="1"/>
  <c r="D16" i="23"/>
  <c r="K8" i="23"/>
  <c r="C16" i="23" l="1"/>
  <c r="C14" i="23"/>
  <c r="G14" i="23"/>
  <c r="C15" i="23"/>
  <c r="G15" i="23" l="1"/>
  <c r="C17" i="23"/>
  <c r="C44" i="33" l="1"/>
  <c r="C46" i="33" s="1"/>
  <c r="C12" i="8" l="1"/>
  <c r="D65" i="11"/>
  <c r="D13" i="4"/>
  <c r="G63" i="11"/>
  <c r="H63" i="11" s="1"/>
  <c r="J15" i="4" l="1"/>
  <c r="D14" i="4"/>
  <c r="D15" i="4" s="1"/>
  <c r="D67" i="11"/>
  <c r="G65" i="11"/>
  <c r="H65" i="11" s="1"/>
  <c r="C14" i="8"/>
  <c r="E12" i="8"/>
  <c r="G12" i="8"/>
  <c r="C15" i="8" l="1"/>
  <c r="E14" i="8"/>
  <c r="G14" i="8"/>
  <c r="D69" i="11"/>
  <c r="G67" i="11"/>
  <c r="H67" i="11" s="1"/>
  <c r="K14" i="4"/>
  <c r="P15" i="4"/>
  <c r="Q15" i="4"/>
  <c r="P40" i="4"/>
  <c r="Q40" i="4"/>
  <c r="K39" i="4"/>
  <c r="O39" i="4" s="1"/>
  <c r="D13" i="15" l="1"/>
  <c r="D8" i="15"/>
  <c r="O14" i="4"/>
  <c r="C17" i="8"/>
  <c r="G15" i="8"/>
  <c r="E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Palacios Rojas</author>
  </authors>
  <commentList>
    <comment ref="B3" authorId="0" shapeId="0" xr:uid="{274ADD00-0C69-4048-884C-A48F156B39CE}">
      <text>
        <r>
          <rPr>
            <b/>
            <sz val="9"/>
            <color indexed="81"/>
            <rFont val="Tahoma"/>
            <family val="2"/>
          </rPr>
          <t>Juan Carlos Palacios Rojas: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<sst xmlns="http://schemas.openxmlformats.org/spreadsheetml/2006/main" count="684" uniqueCount="467">
  <si>
    <t>Pasivos corrientes</t>
  </si>
  <si>
    <t>Pasivos no corrientes</t>
  </si>
  <si>
    <t>Activos corrientes</t>
  </si>
  <si>
    <t>Activos no corrientes</t>
  </si>
  <si>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</si>
  <si>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</si>
  <si>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</si>
  <si>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</si>
  <si>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</si>
  <si>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</si>
  <si>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</si>
  <si>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</si>
  <si>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</si>
  <si>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</si>
  <si>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</si>
  <si>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</si>
  <si>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</si>
  <si>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</si>
  <si>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</si>
  <si>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</si>
  <si>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</si>
  <si>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</si>
  <si>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</si>
  <si>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</si>
  <si>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</si>
  <si>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</si>
  <si>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</si>
  <si>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</si>
  <si>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</si>
  <si>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</si>
  <si>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</si>
  <si>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</si>
  <si>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</si>
  <si>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</si>
  <si>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</si>
  <si>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</si>
  <si>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</si>
  <si>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</si>
  <si>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</si>
  <si>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</si>
  <si>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</si>
  <si>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</si>
  <si>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</si>
  <si>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</si>
  <si>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</si>
  <si>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</si>
  <si>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</si>
  <si>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</si>
  <si>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</si>
  <si>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</si>
  <si>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</si>
  <si>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</si>
  <si>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</si>
  <si>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</si>
  <si>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</si>
  <si>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</si>
  <si>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</si>
  <si>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</si>
  <si>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</si>
  <si>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</si>
  <si>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</si>
  <si>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</si>
  <si>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</si>
  <si>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</si>
  <si>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</si>
  <si>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</si>
  <si>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</si>
  <si>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</si>
  <si>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</si>
  <si>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</si>
  <si>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</si>
  <si>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</si>
  <si>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</si>
  <si>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</si>
  <si>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</si>
  <si>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</si>
  <si>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</si>
  <si>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</si>
  <si>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</si>
  <si>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</si>
  <si>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</si>
  <si>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</si>
  <si>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</si>
  <si>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</si>
  <si>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</si>
  <si>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</si>
  <si>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</si>
  <si>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</si>
  <si>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</si>
  <si>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Productos no regulados no sanitarios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</si>
  <si>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</si>
  <si>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</si>
  <si>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</si>
  <si>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</si>
  <si>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</si>
  <si>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</si>
  <si>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</si>
  <si>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</si>
  <si>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</si>
  <si>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</si>
  <si>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</si>
  <si>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</si>
  <si>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</si>
  <si>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</si>
  <si>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</si>
  <si>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</si>
  <si>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</si>
  <si>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</si>
  <si>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</si>
  <si>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</si>
  <si>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</si>
  <si>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</si>
  <si>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</si>
  <si>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</si>
  <si>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</si>
  <si>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TOTAL DE ACTIVOS NO CORRIENTES</t>
  </si>
  <si>
    <t>PATRIMONIO Y PASIVOS</t>
  </si>
  <si>
    <t>PASIVOS CORRIENTES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</si>
  <si>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</si>
  <si>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</si>
  <si>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</si>
  <si>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</si>
  <si>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</si>
  <si>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</si>
  <si>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</si>
  <si>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</si>
  <si>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</si>
  <si>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Otras participaciones en el patrimonio</t>
  </si>
  <si>
    <t>Resultados por unidades de reajuste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</si>
  <si>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</si>
  <si>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</si>
  <si>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</si>
  <si>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</si>
  <si>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</si>
  <si>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</si>
  <si>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</si>
  <si>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</si>
  <si>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</si>
  <si>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</si>
  <si>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</si>
  <si>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</si>
  <si>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</si>
  <si>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</si>
  <si>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</si>
  <si>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</si>
  <si>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</si>
  <si>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</si>
  <si>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Préstamos a entidades relacionadas</t>
  </si>
  <si>
    <t>Compras de propiedades, planta y equipo</t>
  </si>
  <si>
    <t>Compras de activos intangibles</t>
  </si>
  <si>
    <t>Importes procedentes de subvenciones del gobierno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</si>
  <si>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</si>
  <si>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</si>
  <si>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</si>
  <si>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</si>
  <si>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</si>
  <si>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</si>
  <si>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</si>
  <si>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</si>
  <si>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</si>
  <si>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</si>
  <si>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</si>
  <si>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</si>
  <si>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</si>
  <si>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Aguas del Maipo S.A.</t>
  </si>
  <si>
    <t>Ingresos Ordinarios</t>
  </si>
  <si>
    <t>Aguas Andinas Consolidado</t>
  </si>
  <si>
    <t>Análisis Razonado</t>
  </si>
  <si>
    <t>RESULTADO POR NATURALEZA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</si>
  <si>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</si>
  <si>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</si>
  <si>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</si>
  <si>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</si>
  <si>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</si>
  <si>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</si>
  <si>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</si>
  <si>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</si>
  <si>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</si>
  <si>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</si>
  <si>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</si>
  <si>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</si>
  <si>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</si>
  <si>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</si>
  <si>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</si>
  <si>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</si>
  <si>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</si>
  <si>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</si>
  <si>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</si>
  <si>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</si>
  <si>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</si>
  <si>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</si>
  <si>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</si>
  <si>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</si>
  <si>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</si>
  <si>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</si>
  <si>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</si>
  <si>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</si>
  <si>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</si>
  <si>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</si>
  <si>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</si>
  <si>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</si>
  <si>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</si>
  <si>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</si>
  <si>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</si>
  <si>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</si>
  <si>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</si>
  <si>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</si>
  <si>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</si>
  <si>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</si>
  <si>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</si>
  <si>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Estado de Flujo de efectivo directo</t>
  </si>
  <si>
    <t>Clases de pagos en efectivo procedentes de actividades de operación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</si>
  <si>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</si>
  <si>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</si>
  <si>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</si>
  <si>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</si>
  <si>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</si>
  <si>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</si>
  <si>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Interconexiones*</t>
  </si>
  <si>
    <t>Bonos</t>
  </si>
  <si>
    <t>Préstamos</t>
  </si>
  <si>
    <t>Impuestos a las ganancias pagados (reembolsados)</t>
  </si>
  <si>
    <t>Importes procedentes de ventas de activos intangibles</t>
  </si>
  <si>
    <t>Otros pasivos financieros</t>
  </si>
  <si>
    <t>Otros pasivos no financieros</t>
  </si>
  <si>
    <t xml:space="preserve">Primas de emisión </t>
  </si>
  <si>
    <t>Variación en</t>
  </si>
  <si>
    <t>Trimestre</t>
  </si>
  <si>
    <t>Estado de Resultados (M$)</t>
  </si>
  <si>
    <t>Inversiones (M$)</t>
  </si>
  <si>
    <t>Composición por instrumento</t>
  </si>
  <si>
    <t>Composición por tasas</t>
  </si>
  <si>
    <t>Otros activos financieros</t>
  </si>
  <si>
    <t>Derechos por cobrar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</si>
  <si>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</si>
  <si>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</si>
  <si>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</si>
  <si>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</si>
  <si>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</si>
  <si>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 xml:space="preserve">Costos financieros </t>
  </si>
  <si>
    <t>Ganancia antes de impuestos</t>
  </si>
  <si>
    <t xml:space="preserve">      Gasto por impuestos a las ganancias</t>
  </si>
  <si>
    <t>Ganancia procedente de operaciones continuadas</t>
  </si>
  <si>
    <t>Ganancia atribuible a</t>
  </si>
  <si>
    <t>Ganancia atribuible a participaciones no controladoras</t>
  </si>
  <si>
    <t xml:space="preserve">Ganancias por acción 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</si>
  <si>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</si>
  <si>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</si>
  <si>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</si>
  <si>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</si>
  <si>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</si>
  <si>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</si>
  <si>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</si>
  <si>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</si>
  <si>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</si>
  <si>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</si>
  <si>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</si>
  <si>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</si>
  <si>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</si>
  <si>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</si>
  <si>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</si>
  <si>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</si>
  <si>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</si>
  <si>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</si>
  <si>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</si>
  <si>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</si>
  <si>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>Dividendos: indicar pago últimos 12 meses histórico</t>
  </si>
  <si>
    <t xml:space="preserve">      % Var.</t>
  </si>
  <si>
    <t>Pasivo por arrendamientos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</si>
  <si>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</si>
  <si>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</si>
  <si>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</si>
  <si>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</si>
  <si>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Otras (Pérdidas) Ganancias</t>
  </si>
  <si>
    <t>Control</t>
  </si>
  <si>
    <t>Saldos contables</t>
  </si>
  <si>
    <t>TOTAL ACTIVO</t>
  </si>
  <si>
    <t>Anam S.A.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</si>
  <si>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</si>
  <si>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</si>
  <si>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</si>
  <si>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</si>
  <si>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</si>
  <si>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</si>
  <si>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</si>
  <si>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</si>
  <si>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</si>
  <si>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</si>
  <si>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</si>
  <si>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</si>
  <si>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</si>
  <si>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</si>
  <si>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</si>
  <si>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</si>
  <si>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</si>
  <si>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Eliminación de los flujos de las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</si>
  <si>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</si>
  <si>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</si>
  <si>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</si>
  <si>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</si>
  <si>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</si>
  <si>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Eliminación de los flujos de financiación discontinuadas</t>
  </si>
  <si>
    <t>Operaciones discontinuadas</t>
  </si>
  <si>
    <t>Pasivos no corrientes mantenidos para la venta</t>
  </si>
  <si>
    <t>Total otros pasivos financieros</t>
  </si>
  <si>
    <t>Total pasivos por arrendamiento</t>
  </si>
  <si>
    <t>&gt;200%</t>
  </si>
  <si>
    <t>Otras reservas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</si>
  <si>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</si>
  <si>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</si>
  <si>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</si>
  <si>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</si>
  <si>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</si>
  <si>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interes minoritario</t>
  </si>
  <si>
    <t>4T21</t>
  </si>
  <si>
    <t>Hidrogistica S.A.</t>
  </si>
  <si>
    <t>AR</t>
  </si>
  <si>
    <t xml:space="preserve">Derivado </t>
  </si>
  <si>
    <t>Dic-22</t>
  </si>
  <si>
    <t xml:space="preserve">EUR </t>
  </si>
  <si>
    <t xml:space="preserve">Forward </t>
  </si>
  <si>
    <t xml:space="preserve">AR Control de gestión </t>
  </si>
  <si>
    <t>01-04-2023
30-06-2023</t>
  </si>
  <si>
    <t>Mayor venta de AF</t>
  </si>
  <si>
    <t>Menor compra de AF</t>
  </si>
  <si>
    <t>Menor compra de de intg</t>
  </si>
  <si>
    <t>dividendos pagados</t>
  </si>
  <si>
    <t>Impuestos reembolsados</t>
  </si>
  <si>
    <t>Mayor pago interes deuda instituciones financieras moneda nacional (mes a mes mayor)</t>
  </si>
  <si>
    <t>Mayor ingreso por inversiones financieras</t>
  </si>
  <si>
    <t>Mas pago de IVA</t>
  </si>
  <si>
    <t>Mas pago a proveedores y aumento en pago de seguros (aumento de volumen y precio)</t>
  </si>
  <si>
    <t>Mayor cobro (aumento de tarifa, gestion de cobro)</t>
  </si>
  <si>
    <t>M</t>
  </si>
  <si>
    <t>Ganancias por acción básica en operaciones continuadas ()</t>
  </si>
  <si>
    <t>Acuerdo extrajudicial ESSAL 10.249.330.833</t>
  </si>
  <si>
    <t>En 2022 Obtención Otros Préstamos Empresas Relac en cordillera por 2.302.000.000, a la fecha no hay tales flujos.</t>
  </si>
  <si>
    <t>* Incluye ingresos financieros, costos financieros, diferencias de cambio y resultados por unidades de reajuste</t>
  </si>
  <si>
    <t>(Miles de $)</t>
  </si>
  <si>
    <t>Interes minoritario</t>
  </si>
  <si>
    <t>Efectivo y equivalentes al efectivo al final del periodo 4 167.186.100</t>
  </si>
  <si>
    <t>Detalle de costos (M$)</t>
  </si>
  <si>
    <r>
      <t>a)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Materias primas y consumibles</t>
    </r>
  </si>
  <si>
    <r>
      <t>b)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Beneficios a los empleados</t>
    </r>
  </si>
  <si>
    <r>
      <t>c)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Otros gastos por naturaleza</t>
    </r>
  </si>
  <si>
    <t>Total costos</t>
  </si>
  <si>
    <t>* Las perdidas por deterioro de valor corresponden a provisión por deudores incobrables</t>
  </si>
  <si>
    <t xml:space="preserve">    % Var.</t>
  </si>
  <si>
    <r>
      <t>a)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Ingresos financieros</t>
    </r>
  </si>
  <si>
    <r>
      <t>b)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Costos financieros</t>
    </r>
  </si>
  <si>
    <r>
      <t>c)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Diferencias de cambio</t>
    </r>
  </si>
  <si>
    <t>&lt;(200%)</t>
  </si>
  <si>
    <r>
      <t>d)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Resultados por unidad de reajustes</t>
    </r>
  </si>
  <si>
    <r>
      <t>e)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Otras ganancias (pérdidas)</t>
    </r>
  </si>
  <si>
    <r>
      <t>f)</t>
    </r>
    <r>
      <rPr>
        <sz val="7"/>
        <color rgb="FF44546A"/>
        <rFont val="Times New Roman"/>
        <family val="1"/>
      </rPr>
      <t xml:space="preserve">         </t>
    </r>
    <r>
      <rPr>
        <sz val="9"/>
        <color rgb="FF44546A"/>
        <rFont val="Calibri"/>
        <family val="2"/>
      </rPr>
      <t>Gastos por impuestos a las ganancias</t>
    </r>
  </si>
  <si>
    <r>
      <t>2.1</t>
    </r>
    <r>
      <rPr>
        <i/>
        <sz val="7"/>
        <color rgb="FF44546A"/>
        <rFont val="Times New Roman"/>
        <family val="1"/>
      </rPr>
      <t xml:space="preserve"> </t>
    </r>
    <r>
      <rPr>
        <i/>
        <sz val="13"/>
        <color rgb="FF44546A"/>
        <rFont val="Calibri"/>
        <family val="2"/>
      </rPr>
      <t>Análisis de resultado financiero y otros</t>
    </r>
  </si>
  <si>
    <r>
      <t>2.1</t>
    </r>
    <r>
      <rPr>
        <i/>
        <sz val="7"/>
        <color rgb="FF44546A"/>
        <rFont val="Times New Roman"/>
        <family val="1"/>
      </rPr>
      <t xml:space="preserve"> </t>
    </r>
    <r>
      <rPr>
        <i/>
        <sz val="13"/>
        <color rgb="FF44546A"/>
        <rFont val="Calibri"/>
        <family val="2"/>
      </rPr>
      <t>Análisis de gastos</t>
    </r>
  </si>
  <si>
    <r>
      <rPr>
        <b/>
        <sz val="7"/>
        <color rgb="FF455369"/>
        <rFont val="Times New Roman"/>
        <family val="1"/>
      </rPr>
      <t xml:space="preserve">     </t>
    </r>
    <r>
      <rPr>
        <b/>
        <sz val="9"/>
        <color rgb="FF44546A"/>
        <rFont val="Calibri"/>
        <family val="2"/>
      </rPr>
      <t>Resultado Financiero (Miles de $)</t>
    </r>
  </si>
  <si>
    <t>Dic-23</t>
  </si>
  <si>
    <t>Ganancias por deterioro y reversos de pérdidas por deterioro (Pérdidas por deterioro) determinado de acuerdo con NIFF 9  sobre activos financieros</t>
  </si>
  <si>
    <t>Mes de pago: dic 23</t>
  </si>
  <si>
    <t>Dic. 23</t>
  </si>
  <si>
    <t>Dic. 22</t>
  </si>
  <si>
    <t xml:space="preserve">Estados de situación financiera </t>
  </si>
  <si>
    <t xml:space="preserve"> Activos corrientes </t>
  </si>
  <si>
    <t xml:space="preserve"> Activos no corrientes </t>
  </si>
  <si>
    <t xml:space="preserve"> Total Activos </t>
  </si>
  <si>
    <t xml:space="preserve"> PASIVOS  </t>
  </si>
  <si>
    <t xml:space="preserve"> Pasivos corrientes </t>
  </si>
  <si>
    <t xml:space="preserve"> Pasivos no corrientes </t>
  </si>
  <si>
    <t xml:space="preserve"> Patrimonio </t>
  </si>
  <si>
    <t xml:space="preserve"> Participaciones minoritarias </t>
  </si>
  <si>
    <t xml:space="preserve"> Total Pasivos y Patrimonio </t>
  </si>
  <si>
    <t xml:space="preserve"> ESTADO DE RESULTADOS INTEGRALES </t>
  </si>
  <si>
    <t xml:space="preserve"> Ingresos ordinarios </t>
  </si>
  <si>
    <t xml:space="preserve"> Costo de operación </t>
  </si>
  <si>
    <t xml:space="preserve"> Resultado financiero </t>
  </si>
  <si>
    <t xml:space="preserve"> Otros distintos de la operación </t>
  </si>
  <si>
    <t xml:space="preserve"> Impuesto a la renta </t>
  </si>
  <si>
    <t xml:space="preserve"> Participación minoritaria </t>
  </si>
  <si>
    <t xml:space="preserve"> Ganancia atribuible a los propietarios de la controladora  </t>
  </si>
  <si>
    <t xml:space="preserve"> ESTADO DE FLUJO EFECTIVO </t>
  </si>
  <si>
    <t xml:space="preserve"> Flujos de efectivo procedente de (utilizados en) de actividades de operación </t>
  </si>
  <si>
    <t xml:space="preserve"> Flujos de efectivo procedente de (utilizados en) de actividades de inversión </t>
  </si>
  <si>
    <t xml:space="preserve"> Flujos de efectivo procedente de (utilizados en) de actividades de financiación </t>
  </si>
  <si>
    <t xml:space="preserve"> Incremento (disminución) neto en efectivo y equivalente al   efectivo </t>
  </si>
  <si>
    <t xml:space="preserve"> Efectivo y equivalente al efectivo al inicio del periodo</t>
  </si>
  <si>
    <t>Efectivo y equivalente al efectivo al final del periodo</t>
  </si>
  <si>
    <t xml:space="preserve"> ESTADO DE CAMBIOS EN EL PATRIMONIO</t>
  </si>
  <si>
    <t xml:space="preserve"> Capital emitido</t>
  </si>
  <si>
    <t xml:space="preserve"> Ganancias (pérdidas) acumuladas</t>
  </si>
  <si>
    <t xml:space="preserve"> Otras participaciones en el patrimonio</t>
  </si>
  <si>
    <t xml:space="preserve"> Otras reservas</t>
  </si>
  <si>
    <t xml:space="preserve"> Participaciones no controladoras</t>
  </si>
  <si>
    <t>Otros ingresos sanitarios</t>
  </si>
  <si>
    <t>Ingresos no sanitarios</t>
  </si>
  <si>
    <t>d)     Pérdidas por deterioro de valor*</t>
  </si>
  <si>
    <r>
      <t>e)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Depreciación y amortización</t>
    </r>
  </si>
  <si>
    <t>Ejercicio 2023</t>
  </si>
  <si>
    <t>2024 / 2023</t>
  </si>
  <si>
    <t>Check</t>
  </si>
  <si>
    <t>Aspectos financieros al 30-06-2024</t>
  </si>
  <si>
    <t>Dic 23 -Dic 22</t>
  </si>
  <si>
    <t>Mes de pago: mayo 23</t>
  </si>
  <si>
    <t>Mes de pago: mayo 24</t>
  </si>
  <si>
    <t>Clase de ingresos ordinarios</t>
  </si>
  <si>
    <t>Agua Potable</t>
  </si>
  <si>
    <t>Aguas Servidas</t>
  </si>
  <si>
    <t>Otros Ingresos sanitarios</t>
  </si>
  <si>
    <t xml:space="preserve">       2024 / 2023</t>
  </si>
  <si>
    <t>Estado de Resultados (Miles de $)</t>
  </si>
  <si>
    <t>2T24</t>
  </si>
  <si>
    <t>2T23</t>
  </si>
  <si>
    <t>2T24 – 2T23</t>
  </si>
  <si>
    <t>Renovación de redes de Aguas Servidas</t>
  </si>
  <si>
    <t>Renovación de redes de Aguas Potable</t>
  </si>
  <si>
    <t>Arranques y Medidores</t>
  </si>
  <si>
    <t>Plan de Eficiencia Hidráulica</t>
  </si>
  <si>
    <t>Plan de Macromedición Pozos y Estanques</t>
  </si>
  <si>
    <t>Reposición de Activos de Biofactorías La Farfana-Trebal</t>
  </si>
  <si>
    <t>Ampliación Planta Elevadora de Agua Potable Tocornal</t>
  </si>
  <si>
    <t>Renovación Filtros Vizcachitas - Tagle</t>
  </si>
  <si>
    <t xml:space="preserve">Ampliación Planta de Tratamiento Agua Potable Padre Hurtado           </t>
  </si>
  <si>
    <t>Compras de Derechos de Agua</t>
  </si>
  <si>
    <t xml:space="preserve">Obras Seguridad Conducción Manzano – Pirque </t>
  </si>
  <si>
    <t>Otros proyectos de inversión</t>
  </si>
  <si>
    <t>12-14-15</t>
  </si>
  <si>
    <t>26</t>
  </si>
  <si>
    <t>Efectivo y equivalentes al efectivo al final del período</t>
  </si>
  <si>
    <t>(M$)</t>
  </si>
  <si>
    <t>Biogenera S.A.</t>
  </si>
  <si>
    <t>Forward</t>
  </si>
  <si>
    <t>Sept-24</t>
  </si>
  <si>
    <t>Sept- 24 -Sept- 23</t>
  </si>
  <si>
    <t>Sept-23</t>
  </si>
  <si>
    <t>Acum Sept 2023</t>
  </si>
  <si>
    <t>Acum Sept 2024</t>
  </si>
  <si>
    <t>Periodo Sept 2024 - Sept 2023</t>
  </si>
  <si>
    <t>Deudores comerciales y otras cuentas por cobrar,</t>
  </si>
  <si>
    <t>Activos por impuestos corrientes</t>
  </si>
  <si>
    <t>Plusvalia</t>
  </si>
  <si>
    <t>Propiedades, plantas y equipos</t>
  </si>
  <si>
    <t>Activos por impuestos diferidos</t>
  </si>
  <si>
    <t>Activos no corrientes mantenidos para la venta</t>
  </si>
  <si>
    <t>Cuentas por pagar comerciales y otras cuentas por pagar</t>
  </si>
  <si>
    <t xml:space="preserve">Otros pasivos financieros </t>
  </si>
  <si>
    <t>Provisiones corrientes por beneficios a los empleados</t>
  </si>
  <si>
    <t>Provisiones no corrientes por beneficios a los empleados</t>
  </si>
  <si>
    <t>Ganancias (perdidas) acumuladas</t>
  </si>
  <si>
    <t xml:space="preserve">        Sept- 24</t>
  </si>
  <si>
    <t>(*) El precio de la acción a septiembre de 2024 asciende a $703, en tanto que a diciembre de 2023 asciende a $734,24.</t>
  </si>
  <si>
    <t>31-06-2024</t>
  </si>
  <si>
    <t>31-06-2023</t>
  </si>
  <si>
    <t>Sep.24</t>
  </si>
  <si>
    <t>Estado de Resultados (M)</t>
  </si>
  <si>
    <t>01-07-2024
30-09-2024</t>
  </si>
  <si>
    <t>01-07-2023
30-09-2023</t>
  </si>
  <si>
    <t>Sept. 24</t>
  </si>
  <si>
    <t>Sept. 23</t>
  </si>
  <si>
    <t>3T24</t>
  </si>
  <si>
    <t>3T23</t>
  </si>
  <si>
    <t>Interés minoritario</t>
  </si>
  <si>
    <t>Veriacion</t>
  </si>
  <si>
    <t xml:space="preserve">                Total Resultado Financiero</t>
  </si>
  <si>
    <t>Utilidad</t>
  </si>
  <si>
    <t>Dividendos</t>
  </si>
  <si>
    <t>30-09-2023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</si>
</sst>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69" formatCode="_-* #,##0_-;\-* #,##0_-;_-* &quot;-&quot;??_-;_-@_-"/>
    <numFmt numFmtId="170" formatCode="#,##0;[Red]\(#,##0\)"/>
    <numFmt numFmtId="171" formatCode="##,##0.00;[Red]\(##,##0.00\)"/>
    <numFmt numFmtId="172" formatCode="#,##0.000;[Red]\(#,##0.000\)"/>
    <numFmt numFmtId="173" formatCode="#,##0.00;[Red]\(#,##0.00\)"/>
    <numFmt numFmtId="174" formatCode="#,##0.00;[Red]#,##0.00"/>
    <numFmt numFmtId="175" formatCode="#,##0.0;[Red]\(#,##0.0\)"/>
    <numFmt numFmtId="176" formatCode="_-* #,##0\ _P_t_s_-;\-* #,##0\ _P_t_s_-;_-* &quot;-&quot;??\ _P_t_s_-;_-@_-"/>
    <numFmt numFmtId="177" formatCode="_-* #,##0.000_-;\-* #,##0.000_-;_-* &quot;-&quot;??_-;_-@_-"/>
    <numFmt numFmtId="178" formatCode="_-* #,##0.000000_-;\-* #,##0.000000_-;_-* &quot;-&quot;??????_-;_-@_-"/>
    <numFmt numFmtId="179" formatCode="_-* #,##0.0000_-;\-* #,##0.0000_-;_-* &quot;-&quot;??_-;_-@_-"/>
    <numFmt numFmtId="180" formatCode="_-* #,##0.000\ _P_t_s_-;\-* #,##0.000\ _P_t_s_-;_-* &quot;-&quot;??\ _P_t_s_-;_-@_-"/>
    <numFmt numFmtId="181" formatCode="_-* #,##0.0000\ _P_t_s_-;\-* #,##0.0000\ _P_t_s_-;_-* &quot;-&quot;??\ _P_t_s_-;_-@_-"/>
    <numFmt numFmtId="182" formatCode="0.00000"/>
    <numFmt numFmtId="183" formatCode="0.0000"/>
    <numFmt numFmtId="184" formatCode="0.000"/>
    <numFmt numFmtId="185" formatCode="_-* #,##0.000_-;\-* #,##0.000_-;_-* &quot;-&quot;???_-;_-@_-"/>
    <numFmt numFmtId="186" formatCode="##,##0;\(##,##0\)"/>
    <numFmt numFmtId="187" formatCode="0.0000%"/>
    <numFmt numFmtId="188" formatCode="0.0%"/>
    <numFmt numFmtId="189" formatCode="#,##0;\(\ #,##0\)"/>
    <numFmt numFmtId="190" formatCode="#,##0;\(\ \ #,##0\)"/>
    <numFmt numFmtId="191" formatCode="dd\-mm\-yyyy"/>
    <numFmt numFmtId="192" formatCode="d\-m\-yyyy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199" formatCode="#,##0.000"/>
    <numFmt numFmtId="200" formatCode="#,##0_ ;\-#,##0\ "/>
    <numFmt numFmtId="201" formatCode="#,##0\ ;\(#,##0\);\-\ ;"/>
    <numFmt numFmtId="202" formatCode="0.0%_);\(0.0%\)"/>
    <numFmt numFmtId="203" formatCode="#,##0;\(#,##0\);\-"/>
    <numFmt numFmtId="204" formatCode="#,##0.000;\(#,##0.000\);\-"/>
    <numFmt numFmtId="205" formatCode="#,##0.0"/>
    <numFmt numFmtId="206" formatCode="#,##0.000;[Red]#,##0.000"/>
  </numFmts>
  <fonts count="1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sz val="11"/>
      <color rgb="FF44546A"/>
      <name val="Calibri"/>
      <family val="2"/>
    </font>
    <font>
      <sz val="7"/>
      <color rgb="FF44546A"/>
      <name val="Times New Roman"/>
      <family val="1"/>
    </font>
    <font>
      <b/>
      <sz val="10"/>
      <color rgb="FF44546A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8" tint="-0.499984740745262"/>
      <name val="Calibri"/>
      <family val="2"/>
      <scheme val="minor"/>
    </font>
    <font>
      <sz val="9"/>
      <color theme="8" tint="-0.499984740745262"/>
      <name val="Calibri"/>
      <family val="2"/>
    </font>
    <font>
      <b/>
      <sz val="9"/>
      <color theme="8" tint="-0.499984740745262"/>
      <name val="Calibri"/>
      <family val="2"/>
    </font>
    <font>
      <i/>
      <sz val="7"/>
      <color theme="8" tint="-0.499984740745262"/>
      <name val="Calibri"/>
      <family val="2"/>
    </font>
    <font>
      <b/>
      <sz val="9"/>
      <color theme="8" tint="-0.499984740745262"/>
      <name val="Calibri"/>
      <family val="2"/>
      <scheme val="minor"/>
    </font>
    <font>
      <b/>
      <sz val="7"/>
      <color rgb="FF455369"/>
      <name val="Times New Roman"/>
      <family val="1"/>
    </font>
    <font>
      <i/>
      <sz val="13"/>
      <color rgb="FF44546A"/>
      <name val="Calibri"/>
      <family val="2"/>
    </font>
    <font>
      <i/>
      <sz val="7"/>
      <color rgb="FF44546A"/>
      <name val="Times New Roman"/>
      <family val="1"/>
    </font>
    <font>
      <b/>
      <sz val="13"/>
      <color rgb="FF455369"/>
      <name val="Calibri"/>
      <family val="1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rgb="FFFFFFFF"/>
      <name val="Calibri"/>
      <family val="2"/>
    </font>
    <font>
      <sz val="9"/>
      <color theme="1"/>
      <name val="Calibri"/>
      <family val="2"/>
    </font>
    <font>
      <sz val="10"/>
      <color rgb="FF444444"/>
      <name val="Avenir"/>
    </font>
    <font>
      <i/>
      <sz val="8"/>
      <color rgb="FF44546A"/>
      <name val="Calibri"/>
      <family val="2"/>
      <scheme val="minor"/>
    </font>
    <font>
      <b/>
      <sz val="9"/>
      <color theme="1"/>
      <name val="Cambria"/>
      <family val="2"/>
      <scheme val="major"/>
    </font>
    <font>
      <sz val="9"/>
      <color theme="1"/>
      <name val="Cambria"/>
      <family val="2"/>
      <scheme val="major"/>
    </font>
    <font>
      <sz val="9"/>
      <name val="Cambria"/>
      <family val="2"/>
      <scheme val="maj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23"/>
      </right>
      <top style="medium">
        <color indexed="23"/>
      </top>
      <bottom/>
      <diagonal/>
    </border>
  </borders>
  <cellStyleXfs count="170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9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0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1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12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3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9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6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15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7" fillId="7" borderId="0" applyNumberFormat="0" applyBorder="0" applyAlignment="0" applyProtection="0"/>
    <xf numFmtId="0" fontId="62" fillId="85" borderId="0" applyNumberFormat="0" applyBorder="0" applyAlignment="0" applyProtection="0"/>
    <xf numFmtId="0" fontId="63" fillId="85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6" borderId="0" applyNumberFormat="0" applyBorder="0" applyAlignment="0" applyProtection="0"/>
    <xf numFmtId="0" fontId="8" fillId="9" borderId="0" applyNumberFormat="0" applyBorder="0" applyAlignment="0" applyProtection="0"/>
    <xf numFmtId="0" fontId="64" fillId="87" borderId="0" applyNumberFormat="0" applyBorder="0" applyAlignment="0" applyProtection="0"/>
    <xf numFmtId="0" fontId="8" fillId="16" borderId="0" applyNumberFormat="0" applyBorder="0" applyAlignment="0" applyProtection="0"/>
    <xf numFmtId="0" fontId="64" fillId="88" borderId="0" applyNumberFormat="0" applyBorder="0" applyAlignment="0" applyProtection="0"/>
    <xf numFmtId="0" fontId="8" fillId="17" borderId="0" applyNumberFormat="0" applyBorder="0" applyAlignment="0" applyProtection="0"/>
    <xf numFmtId="0" fontId="64" fillId="89" borderId="0" applyNumberFormat="0" applyBorder="0" applyAlignment="0" applyProtection="0"/>
    <xf numFmtId="0" fontId="8" fillId="15" borderId="0" applyNumberFormat="0" applyBorder="0" applyAlignment="0" applyProtection="0"/>
    <xf numFmtId="0" fontId="64" fillId="90" borderId="0" applyNumberFormat="0" applyBorder="0" applyAlignment="0" applyProtection="0"/>
    <xf numFmtId="0" fontId="8" fillId="7" borderId="0" applyNumberFormat="0" applyBorder="0" applyAlignment="0" applyProtection="0"/>
    <xf numFmtId="0" fontId="64" fillId="91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2" borderId="26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9" fillId="0" borderId="0"/>
  </cellStyleXfs>
  <cellXfs count="553">
    <xf numFmtId="0" fontId="0" fillId="0" borderId="0" xfId="0"/>
    <xf numFmtId="3" fontId="70" fillId="0" borderId="0" xfId="0" applyNumberFormat="1" applyFont="1"/>
    <xf numFmtId="0" fontId="71" fillId="0" borderId="63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36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0" fontId="71" fillId="0" borderId="3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201" fontId="79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202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201" fontId="74" fillId="0" borderId="0" xfId="0" applyNumberFormat="1" applyFont="1"/>
    <xf numFmtId="0" fontId="75" fillId="0" borderId="0" xfId="1698" applyFont="1" applyAlignment="1">
      <alignment horizontal="left" indent="2"/>
    </xf>
    <xf numFmtId="0" fontId="73" fillId="0" borderId="0" xfId="1698" applyFont="1"/>
    <xf numFmtId="0" fontId="73" fillId="0" borderId="0" xfId="1698" applyFont="1" applyAlignment="1">
      <alignment vertical="center"/>
    </xf>
    <xf numFmtId="3" fontId="73" fillId="0" borderId="0" xfId="1698" applyNumberFormat="1" applyFont="1" applyAlignment="1">
      <alignment vertical="center"/>
    </xf>
    <xf numFmtId="202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3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82" fillId="0" borderId="0" xfId="0" applyFont="1"/>
    <xf numFmtId="3" fontId="82" fillId="0" borderId="0" xfId="0" applyNumberFormat="1" applyFont="1"/>
    <xf numFmtId="9" fontId="73" fillId="0" borderId="0" xfId="950" applyFont="1"/>
    <xf numFmtId="9" fontId="74" fillId="0" borderId="0" xfId="950" applyFont="1"/>
    <xf numFmtId="202" fontId="72" fillId="0" borderId="0" xfId="0" applyNumberFormat="1" applyFont="1" applyAlignment="1">
      <alignment horizontal="center" vertical="center"/>
    </xf>
    <xf numFmtId="0" fontId="71" fillId="0" borderId="36" xfId="0" applyFont="1" applyBorder="1"/>
    <xf numFmtId="186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63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14" fontId="86" fillId="73" borderId="48" xfId="904" applyNumberFormat="1" applyFont="1" applyFill="1" applyBorder="1" applyAlignment="1">
      <alignment horizontal="center" vertical="center"/>
    </xf>
    <xf numFmtId="14" fontId="86" fillId="73" borderId="49" xfId="904" applyNumberFormat="1" applyFont="1" applyFill="1" applyBorder="1" applyAlignment="1">
      <alignment horizontal="center" vertical="center"/>
    </xf>
    <xf numFmtId="203" fontId="86" fillId="73" borderId="54" xfId="904" applyNumberFormat="1" applyFont="1" applyFill="1" applyBorder="1" applyAlignment="1">
      <alignment horizontal="center" vertical="top"/>
    </xf>
    <xf numFmtId="203" fontId="86" fillId="73" borderId="55" xfId="904" applyNumberFormat="1" applyFont="1" applyFill="1" applyBorder="1" applyAlignment="1">
      <alignment horizontal="center" vertical="top"/>
    </xf>
    <xf numFmtId="203" fontId="86" fillId="0" borderId="53" xfId="904" applyNumberFormat="1" applyFont="1" applyBorder="1" applyAlignment="1">
      <alignment horizontal="left" vertical="center" indent="1"/>
    </xf>
    <xf numFmtId="203" fontId="87" fillId="0" borderId="1" xfId="904" quotePrefix="1" applyNumberFormat="1" applyFont="1" applyBorder="1" applyAlignment="1">
      <alignment horizontal="center" vertical="center"/>
    </xf>
    <xf numFmtId="203" fontId="87" fillId="0" borderId="1" xfId="904" applyNumberFormat="1" applyFont="1" applyBorder="1" applyAlignment="1">
      <alignment vertical="center"/>
    </xf>
    <xf numFmtId="203" fontId="87" fillId="0" borderId="44" xfId="904" applyNumberFormat="1" applyFont="1" applyBorder="1" applyAlignment="1">
      <alignment vertical="center"/>
    </xf>
    <xf numFmtId="203" fontId="87" fillId="0" borderId="53" xfId="904" applyNumberFormat="1" applyFont="1" applyBorder="1" applyAlignment="1">
      <alignment horizontal="left" vertical="center" indent="3"/>
    </xf>
    <xf numFmtId="203" fontId="87" fillId="0" borderId="1" xfId="904" applyNumberFormat="1" applyFont="1" applyBorder="1" applyAlignment="1">
      <alignment horizontal="center" vertical="center"/>
    </xf>
    <xf numFmtId="203" fontId="86" fillId="73" borderId="53" xfId="904" applyNumberFormat="1" applyFont="1" applyFill="1" applyBorder="1" applyAlignment="1">
      <alignment horizontal="left" vertical="center" wrapText="1"/>
    </xf>
    <xf numFmtId="203" fontId="86" fillId="73" borderId="1" xfId="904" applyNumberFormat="1" applyFont="1" applyFill="1" applyBorder="1" applyAlignment="1">
      <alignment horizontal="center" vertical="center"/>
    </xf>
    <xf numFmtId="203" fontId="86" fillId="96" borderId="53" xfId="904" applyNumberFormat="1" applyFont="1" applyFill="1" applyBorder="1" applyAlignment="1">
      <alignment horizontal="left" vertical="center"/>
    </xf>
    <xf numFmtId="203" fontId="86" fillId="0" borderId="1" xfId="904" applyNumberFormat="1" applyFont="1" applyBorder="1" applyAlignment="1">
      <alignment horizontal="center" vertical="center"/>
    </xf>
    <xf numFmtId="203" fontId="86" fillId="73" borderId="53" xfId="904" applyNumberFormat="1" applyFont="1" applyFill="1" applyBorder="1" applyAlignment="1">
      <alignment horizontal="left" vertical="center" indent="2"/>
    </xf>
    <xf numFmtId="203" fontId="86" fillId="73" borderId="56" xfId="904" applyNumberFormat="1" applyFont="1" applyFill="1" applyBorder="1" applyAlignment="1">
      <alignment horizontal="left" vertical="center" indent="2"/>
    </xf>
    <xf numFmtId="203" fontId="86" fillId="73" borderId="45" xfId="904" applyNumberFormat="1" applyFont="1" applyFill="1" applyBorder="1" applyAlignment="1">
      <alignment horizontal="center" vertical="center"/>
    </xf>
    <xf numFmtId="203" fontId="86" fillId="0" borderId="1" xfId="904" applyNumberFormat="1" applyFont="1" applyBorder="1" applyAlignment="1">
      <alignment horizontal="left" vertical="center" indent="2"/>
    </xf>
    <xf numFmtId="203" fontId="86" fillId="73" borderId="53" xfId="904" applyNumberFormat="1" applyFont="1" applyFill="1" applyBorder="1" applyAlignment="1">
      <alignment horizontal="left" vertical="center" wrapText="1" indent="2"/>
    </xf>
    <xf numFmtId="203" fontId="86" fillId="73" borderId="1" xfId="904" applyNumberFormat="1" applyFont="1" applyFill="1" applyBorder="1" applyAlignment="1">
      <alignment horizontal="left" vertical="center" indent="3"/>
    </xf>
    <xf numFmtId="203" fontId="86" fillId="73" borderId="53" xfId="904" applyNumberFormat="1" applyFont="1" applyFill="1" applyBorder="1" applyAlignment="1">
      <alignment horizontal="left" vertical="center" indent="1"/>
    </xf>
    <xf numFmtId="203" fontId="86" fillId="0" borderId="57" xfId="904" applyNumberFormat="1" applyFont="1" applyBorder="1" applyAlignment="1">
      <alignment vertical="center"/>
    </xf>
    <xf numFmtId="203" fontId="78" fillId="0" borderId="53" xfId="904" applyNumberFormat="1" applyFont="1" applyBorder="1" applyAlignment="1">
      <alignment horizontal="left" vertical="center" indent="3"/>
    </xf>
    <xf numFmtId="203" fontId="86" fillId="0" borderId="53" xfId="904" applyNumberFormat="1" applyFont="1" applyBorder="1" applyAlignment="1">
      <alignment horizontal="left" vertical="center" wrapText="1" indent="3"/>
    </xf>
    <xf numFmtId="203" fontId="87" fillId="73" borderId="1" xfId="904" applyNumberFormat="1" applyFont="1" applyFill="1" applyBorder="1" applyAlignment="1">
      <alignment horizontal="center" vertical="center"/>
    </xf>
    <xf numFmtId="203" fontId="86" fillId="73" borderId="56" xfId="904" applyNumberFormat="1" applyFont="1" applyFill="1" applyBorder="1" applyAlignment="1">
      <alignment horizontal="left" vertical="center" indent="1"/>
    </xf>
    <xf numFmtId="203" fontId="86" fillId="73" borderId="45" xfId="904" applyNumberFormat="1" applyFont="1" applyFill="1" applyBorder="1" applyAlignment="1">
      <alignment horizontal="left" vertical="center" indent="3"/>
    </xf>
    <xf numFmtId="203" fontId="87" fillId="0" borderId="53" xfId="904" applyNumberFormat="1" applyFont="1" applyBorder="1" applyAlignment="1">
      <alignment vertical="center"/>
    </xf>
    <xf numFmtId="203" fontId="87" fillId="0" borderId="58" xfId="904" applyNumberFormat="1" applyFont="1" applyBorder="1" applyAlignment="1">
      <alignment vertical="center"/>
    </xf>
    <xf numFmtId="0" fontId="87" fillId="0" borderId="53" xfId="904" applyFont="1" applyBorder="1" applyAlignment="1">
      <alignment vertical="center"/>
    </xf>
    <xf numFmtId="3" fontId="87" fillId="0" borderId="1" xfId="904" applyNumberFormat="1" applyFont="1" applyBorder="1" applyAlignment="1">
      <alignment vertical="center"/>
    </xf>
    <xf numFmtId="0" fontId="86" fillId="73" borderId="53" xfId="904" applyFont="1" applyFill="1" applyBorder="1" applyAlignment="1">
      <alignment vertical="center"/>
    </xf>
    <xf numFmtId="0" fontId="86" fillId="73" borderId="1" xfId="904" applyFont="1" applyFill="1" applyBorder="1" applyAlignment="1">
      <alignment horizontal="center" vertical="center"/>
    </xf>
    <xf numFmtId="3" fontId="86" fillId="73" borderId="1" xfId="904" applyNumberFormat="1" applyFont="1" applyFill="1" applyBorder="1" applyAlignment="1">
      <alignment vertical="center"/>
    </xf>
    <xf numFmtId="0" fontId="86" fillId="73" borderId="1" xfId="904" applyFont="1" applyFill="1" applyBorder="1" applyAlignment="1">
      <alignment horizontal="left" vertical="center" indent="3"/>
    </xf>
    <xf numFmtId="0" fontId="87" fillId="0" borderId="1" xfId="904" applyFont="1" applyBorder="1" applyAlignment="1">
      <alignment horizontal="center" vertical="center"/>
    </xf>
    <xf numFmtId="3" fontId="87" fillId="0" borderId="44" xfId="904" applyNumberFormat="1" applyFont="1" applyBorder="1" applyAlignment="1">
      <alignment vertical="center"/>
    </xf>
    <xf numFmtId="0" fontId="86" fillId="0" borderId="53" xfId="904" applyFont="1" applyBorder="1" applyAlignment="1">
      <alignment vertical="center" wrapText="1"/>
    </xf>
    <xf numFmtId="0" fontId="87" fillId="0" borderId="1" xfId="904" applyFont="1" applyBorder="1" applyAlignment="1">
      <alignment horizontal="left" vertical="center" indent="3"/>
    </xf>
    <xf numFmtId="3" fontId="87" fillId="0" borderId="1" xfId="904" applyNumberFormat="1" applyFont="1" applyBorder="1" applyAlignment="1">
      <alignment horizontal="center" vertical="center"/>
    </xf>
    <xf numFmtId="3" fontId="87" fillId="0" borderId="58" xfId="904" applyNumberFormat="1" applyFont="1" applyBorder="1" applyAlignment="1">
      <alignment horizontal="center" vertical="center"/>
    </xf>
    <xf numFmtId="0" fontId="86" fillId="73" borderId="53" xfId="904" applyFont="1" applyFill="1" applyBorder="1" applyAlignment="1">
      <alignment vertical="center" wrapText="1"/>
    </xf>
    <xf numFmtId="3" fontId="86" fillId="98" borderId="1" xfId="904" applyNumberFormat="1" applyFont="1" applyFill="1" applyBorder="1" applyAlignment="1">
      <alignment vertical="center"/>
    </xf>
    <xf numFmtId="0" fontId="86" fillId="98" borderId="53" xfId="904" applyFont="1" applyFill="1" applyBorder="1" applyAlignment="1">
      <alignment vertical="center"/>
    </xf>
    <xf numFmtId="0" fontId="86" fillId="98" borderId="1" xfId="904" applyFont="1" applyFill="1" applyBorder="1" applyAlignment="1">
      <alignment horizontal="left" vertical="center" indent="3"/>
    </xf>
    <xf numFmtId="0" fontId="86" fillId="0" borderId="53" xfId="904" applyFont="1" applyBorder="1" applyAlignment="1">
      <alignment vertical="center"/>
    </xf>
    <xf numFmtId="3" fontId="87" fillId="0" borderId="0" xfId="904" applyNumberFormat="1" applyFont="1"/>
    <xf numFmtId="0" fontId="87" fillId="0" borderId="0" xfId="904" applyFont="1"/>
    <xf numFmtId="0" fontId="86" fillId="73" borderId="56" xfId="904" applyFont="1" applyFill="1" applyBorder="1" applyAlignment="1">
      <alignment vertical="center"/>
    </xf>
    <xf numFmtId="0" fontId="87" fillId="73" borderId="45" xfId="904" applyFont="1" applyFill="1" applyBorder="1" applyAlignment="1">
      <alignment horizontal="center" vertical="center"/>
    </xf>
    <xf numFmtId="199" fontId="86" fillId="73" borderId="45" xfId="904" applyNumberFormat="1" applyFont="1" applyFill="1" applyBorder="1" applyAlignment="1">
      <alignment vertical="center"/>
    </xf>
    <xf numFmtId="203" fontId="87" fillId="0" borderId="41" xfId="0" applyNumberFormat="1" applyFont="1" applyBorder="1" applyAlignment="1">
      <alignment horizontal="left" vertical="center" wrapText="1"/>
    </xf>
    <xf numFmtId="203" fontId="87" fillId="0" borderId="42" xfId="0" applyNumberFormat="1" applyFont="1" applyBorder="1" applyAlignment="1">
      <alignment horizontal="center" vertical="center" wrapText="1"/>
    </xf>
    <xf numFmtId="203" fontId="86" fillId="0" borderId="41" xfId="0" applyNumberFormat="1" applyFont="1" applyBorder="1" applyAlignment="1">
      <alignment horizontal="left" vertical="center" wrapText="1"/>
    </xf>
    <xf numFmtId="203" fontId="86" fillId="0" borderId="42" xfId="0" applyNumberFormat="1" applyFont="1" applyBorder="1" applyAlignment="1">
      <alignment horizontal="center" vertical="center" wrapText="1"/>
    </xf>
    <xf numFmtId="0" fontId="87" fillId="0" borderId="0" xfId="903" applyFont="1"/>
    <xf numFmtId="0" fontId="87" fillId="0" borderId="0" xfId="0" applyFont="1"/>
    <xf numFmtId="0" fontId="86" fillId="97" borderId="40" xfId="0" applyFont="1" applyFill="1" applyBorder="1" applyAlignment="1">
      <alignment horizontal="center" vertical="center"/>
    </xf>
    <xf numFmtId="0" fontId="87" fillId="0" borderId="42" xfId="0" applyFont="1" applyBorder="1" applyAlignment="1">
      <alignment horizontal="center" vertical="center" wrapText="1"/>
    </xf>
    <xf numFmtId="3" fontId="87" fillId="0" borderId="0" xfId="0" applyNumberFormat="1" applyFont="1" applyAlignment="1">
      <alignment wrapText="1"/>
    </xf>
    <xf numFmtId="0" fontId="87" fillId="0" borderId="0" xfId="0" applyFont="1" applyAlignment="1">
      <alignment wrapText="1"/>
    </xf>
    <xf numFmtId="0" fontId="87" fillId="0" borderId="41" xfId="0" applyFont="1" applyBorder="1" applyAlignment="1">
      <alignment horizontal="left" vertical="center" wrapText="1"/>
    </xf>
    <xf numFmtId="0" fontId="86" fillId="96" borderId="41" xfId="0" applyFont="1" applyFill="1" applyBorder="1" applyAlignment="1">
      <alignment horizontal="left" vertical="center" wrapText="1"/>
    </xf>
    <xf numFmtId="0" fontId="87" fillId="96" borderId="42" xfId="0" applyFont="1" applyFill="1" applyBorder="1" applyAlignment="1">
      <alignment horizontal="center" vertical="center" wrapText="1"/>
    </xf>
    <xf numFmtId="0" fontId="86" fillId="96" borderId="42" xfId="0" applyFont="1" applyFill="1" applyBorder="1" applyAlignment="1">
      <alignment horizontal="center" vertical="center" wrapText="1"/>
    </xf>
    <xf numFmtId="0" fontId="86" fillId="96" borderId="41" xfId="0" applyFont="1" applyFill="1" applyBorder="1" applyAlignment="1">
      <alignment vertical="center" wrapText="1"/>
    </xf>
    <xf numFmtId="0" fontId="87" fillId="96" borderId="41" xfId="0" applyFont="1" applyFill="1" applyBorder="1" applyAlignment="1">
      <alignment horizontal="left" vertical="center" wrapText="1"/>
    </xf>
    <xf numFmtId="3" fontId="69" fillId="0" borderId="0" xfId="0" applyNumberFormat="1" applyFont="1" applyAlignment="1">
      <alignment wrapText="1"/>
    </xf>
    <xf numFmtId="0" fontId="86" fillId="96" borderId="50" xfId="0" applyFont="1" applyFill="1" applyBorder="1" applyAlignment="1">
      <alignment horizontal="left" vertical="center" wrapText="1"/>
    </xf>
    <xf numFmtId="0" fontId="86" fillId="96" borderId="47" xfId="0" applyFont="1" applyFill="1" applyBorder="1" applyAlignment="1">
      <alignment horizontal="center" vertical="center" wrapText="1"/>
    </xf>
    <xf numFmtId="0" fontId="87" fillId="0" borderId="0" xfId="903" applyFont="1" applyAlignment="1">
      <alignment horizontal="center"/>
    </xf>
    <xf numFmtId="0" fontId="86" fillId="0" borderId="0" xfId="904" applyFont="1"/>
    <xf numFmtId="3" fontId="87" fillId="0" borderId="0" xfId="903" applyNumberFormat="1" applyFont="1"/>
    <xf numFmtId="191" fontId="86" fillId="0" borderId="0" xfId="904" applyNumberFormat="1" applyFont="1" applyAlignment="1">
      <alignment horizontal="center" vertical="center"/>
    </xf>
    <xf numFmtId="192" fontId="86" fillId="0" borderId="0" xfId="904" applyNumberFormat="1" applyFont="1" applyAlignment="1">
      <alignment horizontal="center" vertical="top"/>
    </xf>
    <xf numFmtId="0" fontId="87" fillId="0" borderId="0" xfId="904" applyFont="1" applyAlignment="1">
      <alignment vertical="center"/>
    </xf>
    <xf numFmtId="3" fontId="87" fillId="0" borderId="0" xfId="904" applyNumberFormat="1" applyFont="1" applyAlignment="1">
      <alignment vertical="center"/>
    </xf>
    <xf numFmtId="3" fontId="86" fillId="0" borderId="0" xfId="904" applyNumberFormat="1" applyFont="1" applyAlignment="1">
      <alignment vertical="center"/>
    </xf>
    <xf numFmtId="0" fontId="90" fillId="0" borderId="0" xfId="904" applyFont="1"/>
    <xf numFmtId="3" fontId="86" fillId="0" borderId="0" xfId="904" applyNumberFormat="1" applyFont="1" applyAlignment="1">
      <alignment horizontal="right" vertical="center"/>
    </xf>
    <xf numFmtId="0" fontId="87" fillId="0" borderId="0" xfId="0" applyFont="1" applyAlignment="1">
      <alignment horizontal="left" vertical="center" indent="1"/>
    </xf>
    <xf numFmtId="0" fontId="87" fillId="0" borderId="0" xfId="0" applyFont="1" applyAlignment="1">
      <alignment horizontal="left" vertical="center" indent="2"/>
    </xf>
    <xf numFmtId="3" fontId="87" fillId="0" borderId="0" xfId="0" applyNumberFormat="1" applyFont="1" applyAlignment="1">
      <alignment vertical="center"/>
    </xf>
    <xf numFmtId="0" fontId="91" fillId="0" borderId="0" xfId="0" applyFont="1"/>
    <xf numFmtId="0" fontId="92" fillId="0" borderId="0" xfId="0" applyFont="1"/>
    <xf numFmtId="0" fontId="93" fillId="0" borderId="0" xfId="0" applyFont="1"/>
    <xf numFmtId="184" fontId="92" fillId="0" borderId="0" xfId="0" applyNumberFormat="1" applyFont="1"/>
    <xf numFmtId="178" fontId="92" fillId="0" borderId="0" xfId="0" applyNumberFormat="1" applyFont="1"/>
    <xf numFmtId="170" fontId="92" fillId="0" borderId="0" xfId="0" applyNumberFormat="1" applyFont="1"/>
    <xf numFmtId="169" fontId="92" fillId="0" borderId="0" xfId="836" quotePrefix="1" applyNumberFormat="1" applyFont="1" applyBorder="1" applyAlignment="1">
      <alignment horizontal="center"/>
    </xf>
    <xf numFmtId="0" fontId="94" fillId="93" borderId="27" xfId="0" applyFont="1" applyFill="1" applyBorder="1"/>
    <xf numFmtId="0" fontId="95" fillId="93" borderId="28" xfId="0" applyFont="1" applyFill="1" applyBorder="1"/>
    <xf numFmtId="49" fontId="94" fillId="93" borderId="28" xfId="836" applyNumberFormat="1" applyFont="1" applyFill="1" applyBorder="1" applyAlignment="1">
      <alignment horizontal="center"/>
    </xf>
    <xf numFmtId="169" fontId="91" fillId="0" borderId="0" xfId="836" quotePrefix="1" applyNumberFormat="1" applyFont="1" applyFill="1" applyAlignment="1">
      <alignment horizontal="center"/>
    </xf>
    <xf numFmtId="169" fontId="91" fillId="0" borderId="0" xfId="836" quotePrefix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4" fontId="92" fillId="0" borderId="0" xfId="0" applyNumberFormat="1" applyFont="1" applyAlignment="1">
      <alignment horizontal="center"/>
    </xf>
    <xf numFmtId="0" fontId="91" fillId="0" borderId="29" xfId="0" applyFont="1" applyBorder="1"/>
    <xf numFmtId="0" fontId="92" fillId="0" borderId="30" xfId="0" applyFont="1" applyBorder="1"/>
    <xf numFmtId="0" fontId="92" fillId="0" borderId="61" xfId="0" applyFont="1" applyBorder="1"/>
    <xf numFmtId="0" fontId="92" fillId="0" borderId="31" xfId="0" applyFont="1" applyBorder="1"/>
    <xf numFmtId="0" fontId="91" fillId="0" borderId="24" xfId="0" applyFont="1" applyBorder="1"/>
    <xf numFmtId="183" fontId="93" fillId="0" borderId="0" xfId="0" applyNumberFormat="1" applyFont="1"/>
    <xf numFmtId="0" fontId="92" fillId="0" borderId="29" xfId="0" applyFont="1" applyBorder="1"/>
    <xf numFmtId="0" fontId="92" fillId="0" borderId="30" xfId="0" applyFont="1" applyBorder="1" applyAlignment="1">
      <alignment horizontal="center"/>
    </xf>
    <xf numFmtId="169" fontId="92" fillId="0" borderId="30" xfId="836" applyNumberFormat="1" applyFont="1" applyBorder="1"/>
    <xf numFmtId="169" fontId="92" fillId="0" borderId="61" xfId="836" applyNumberFormat="1" applyFont="1" applyBorder="1"/>
    <xf numFmtId="169" fontId="92" fillId="0" borderId="31" xfId="836" applyNumberFormat="1" applyFont="1" applyBorder="1"/>
    <xf numFmtId="179" fontId="92" fillId="0" borderId="0" xfId="836" applyNumberFormat="1" applyFont="1"/>
    <xf numFmtId="0" fontId="92" fillId="0" borderId="25" xfId="0" applyFont="1" applyBorder="1"/>
    <xf numFmtId="170" fontId="92" fillId="0" borderId="25" xfId="0" applyNumberFormat="1" applyFont="1" applyBorder="1"/>
    <xf numFmtId="2" fontId="96" fillId="0" borderId="0" xfId="0" applyNumberFormat="1" applyFont="1"/>
    <xf numFmtId="2" fontId="91" fillId="0" borderId="0" xfId="0" applyNumberFormat="1" applyFont="1"/>
    <xf numFmtId="188" fontId="92" fillId="0" borderId="0" xfId="950" applyNumberFormat="1" applyFont="1"/>
    <xf numFmtId="188" fontId="93" fillId="0" borderId="0" xfId="950" applyNumberFormat="1" applyFont="1" applyFill="1" applyBorder="1"/>
    <xf numFmtId="0" fontId="94" fillId="93" borderId="29" xfId="0" applyFont="1" applyFill="1" applyBorder="1"/>
    <xf numFmtId="0" fontId="95" fillId="93" borderId="30" xfId="0" applyFont="1" applyFill="1" applyBorder="1"/>
    <xf numFmtId="169" fontId="94" fillId="93" borderId="30" xfId="836" applyNumberFormat="1" applyFont="1" applyFill="1" applyBorder="1"/>
    <xf numFmtId="169" fontId="94" fillId="93" borderId="61" xfId="836" applyNumberFormat="1" applyFont="1" applyFill="1" applyBorder="1"/>
    <xf numFmtId="169" fontId="92" fillId="0" borderId="0" xfId="836" applyNumberFormat="1" applyFont="1"/>
    <xf numFmtId="169" fontId="91" fillId="0" borderId="0" xfId="836" applyNumberFormat="1" applyFont="1"/>
    <xf numFmtId="2" fontId="92" fillId="0" borderId="0" xfId="0" applyNumberFormat="1" applyFont="1"/>
    <xf numFmtId="0" fontId="94" fillId="93" borderId="32" xfId="0" applyFont="1" applyFill="1" applyBorder="1"/>
    <xf numFmtId="0" fontId="95" fillId="93" borderId="33" xfId="0" applyFont="1" applyFill="1" applyBorder="1"/>
    <xf numFmtId="169" fontId="94" fillId="93" borderId="33" xfId="836" applyNumberFormat="1" applyFont="1" applyFill="1" applyBorder="1"/>
    <xf numFmtId="169" fontId="94" fillId="93" borderId="62" xfId="836" applyNumberFormat="1" applyFont="1" applyFill="1" applyBorder="1"/>
    <xf numFmtId="2" fontId="96" fillId="0" borderId="0" xfId="950" applyNumberFormat="1" applyFont="1" applyFill="1"/>
    <xf numFmtId="10" fontId="91" fillId="0" borderId="0" xfId="0" applyNumberFormat="1" applyFont="1"/>
    <xf numFmtId="0" fontId="92" fillId="0" borderId="35" xfId="0" applyFont="1" applyBorder="1"/>
    <xf numFmtId="200" fontId="70" fillId="0" borderId="0" xfId="836" applyNumberFormat="1" applyFont="1" applyBorder="1"/>
    <xf numFmtId="49" fontId="94" fillId="93" borderId="28" xfId="836" quotePrefix="1" applyNumberFormat="1" applyFont="1" applyFill="1" applyBorder="1" applyAlignment="1">
      <alignment horizontal="center"/>
    </xf>
    <xf numFmtId="0" fontId="91" fillId="0" borderId="30" xfId="0" applyFont="1" applyBorder="1" applyAlignment="1">
      <alignment horizontal="center"/>
    </xf>
    <xf numFmtId="186" fontId="92" fillId="0" borderId="30" xfId="836" applyNumberFormat="1" applyFont="1" applyFill="1" applyBorder="1"/>
    <xf numFmtId="186" fontId="92" fillId="0" borderId="31" xfId="836" applyNumberFormat="1" applyFont="1" applyFill="1" applyBorder="1"/>
    <xf numFmtId="0" fontId="97" fillId="0" borderId="0" xfId="0" applyFont="1"/>
    <xf numFmtId="169" fontId="93" fillId="0" borderId="0" xfId="0" applyNumberFormat="1" applyFont="1"/>
    <xf numFmtId="186" fontId="91" fillId="0" borderId="30" xfId="836" applyNumberFormat="1" applyFont="1" applyFill="1" applyBorder="1"/>
    <xf numFmtId="176" fontId="93" fillId="0" borderId="0" xfId="836" applyNumberFormat="1" applyFont="1" applyFill="1" applyBorder="1"/>
    <xf numFmtId="171" fontId="91" fillId="0" borderId="0" xfId="0" applyNumberFormat="1" applyFont="1"/>
    <xf numFmtId="173" fontId="92" fillId="0" borderId="0" xfId="0" applyNumberFormat="1" applyFont="1"/>
    <xf numFmtId="188" fontId="92" fillId="0" borderId="0" xfId="950" applyNumberFormat="1" applyFont="1" applyFill="1" applyBorder="1"/>
    <xf numFmtId="0" fontId="92" fillId="0" borderId="32" xfId="0" applyFont="1" applyBorder="1"/>
    <xf numFmtId="0" fontId="92" fillId="0" borderId="33" xfId="0" applyFont="1" applyBorder="1" applyAlignment="1">
      <alignment horizontal="center"/>
    </xf>
    <xf numFmtId="186" fontId="92" fillId="0" borderId="33" xfId="836" applyNumberFormat="1" applyFont="1" applyFill="1" applyBorder="1"/>
    <xf numFmtId="0" fontId="98" fillId="0" borderId="24" xfId="0" applyFont="1" applyBorder="1"/>
    <xf numFmtId="0" fontId="99" fillId="0" borderId="0" xfId="0" applyFont="1"/>
    <xf numFmtId="170" fontId="99" fillId="0" borderId="0" xfId="0" applyNumberFormat="1" applyFont="1"/>
    <xf numFmtId="169" fontId="99" fillId="0" borderId="0" xfId="836" applyNumberFormat="1" applyFont="1"/>
    <xf numFmtId="186" fontId="92" fillId="0" borderId="0" xfId="836" applyNumberFormat="1" applyFont="1" applyBorder="1"/>
    <xf numFmtId="188" fontId="92" fillId="0" borderId="0" xfId="950" applyNumberFormat="1" applyFont="1" applyBorder="1"/>
    <xf numFmtId="189" fontId="99" fillId="0" borderId="0" xfId="0" applyNumberFormat="1" applyFont="1"/>
    <xf numFmtId="176" fontId="92" fillId="0" borderId="0" xfId="836" applyNumberFormat="1" applyFont="1"/>
    <xf numFmtId="169" fontId="94" fillId="93" borderId="28" xfId="836" quotePrefix="1" applyNumberFormat="1" applyFont="1" applyFill="1" applyBorder="1" applyAlignment="1">
      <alignment horizontal="center"/>
    </xf>
    <xf numFmtId="186" fontId="92" fillId="0" borderId="30" xfId="836" applyNumberFormat="1" applyFont="1" applyBorder="1"/>
    <xf numFmtId="182" fontId="92" fillId="0" borderId="0" xfId="0" applyNumberFormat="1" applyFont="1"/>
    <xf numFmtId="187" fontId="92" fillId="0" borderId="0" xfId="950" applyNumberFormat="1" applyFont="1"/>
    <xf numFmtId="174" fontId="91" fillId="0" borderId="0" xfId="0" applyNumberFormat="1" applyFont="1"/>
    <xf numFmtId="186" fontId="91" fillId="0" borderId="30" xfId="836" applyNumberFormat="1" applyFont="1" applyBorder="1"/>
    <xf numFmtId="0" fontId="98" fillId="0" borderId="0" xfId="0" applyFont="1"/>
    <xf numFmtId="170" fontId="98" fillId="0" borderId="0" xfId="0" applyNumberFormat="1" applyFont="1"/>
    <xf numFmtId="2" fontId="99" fillId="0" borderId="0" xfId="0" applyNumberFormat="1" applyFont="1"/>
    <xf numFmtId="10" fontId="99" fillId="0" borderId="0" xfId="950" applyNumberFormat="1" applyFont="1"/>
    <xf numFmtId="0" fontId="95" fillId="93" borderId="33" xfId="0" applyFont="1" applyFill="1" applyBorder="1" applyAlignment="1">
      <alignment horizontal="center"/>
    </xf>
    <xf numFmtId="186" fontId="94" fillId="93" borderId="33" xfId="836" applyNumberFormat="1" applyFont="1" applyFill="1" applyBorder="1"/>
    <xf numFmtId="173" fontId="91" fillId="0" borderId="0" xfId="0" applyNumberFormat="1" applyFont="1"/>
    <xf numFmtId="2" fontId="99" fillId="0" borderId="0" xfId="950" applyNumberFormat="1" applyFont="1" applyFill="1"/>
    <xf numFmtId="10" fontId="99" fillId="0" borderId="0" xfId="950" applyNumberFormat="1" applyFont="1" applyFill="1" applyBorder="1"/>
    <xf numFmtId="0" fontId="92" fillId="94" borderId="27" xfId="0" applyFont="1" applyFill="1" applyBorder="1"/>
    <xf numFmtId="0" fontId="92" fillId="94" borderId="29" xfId="0" applyFont="1" applyFill="1" applyBorder="1"/>
    <xf numFmtId="49" fontId="92" fillId="94" borderId="30" xfId="836" applyNumberFormat="1" applyFont="1" applyFill="1" applyBorder="1" applyAlignment="1">
      <alignment horizontal="left"/>
    </xf>
    <xf numFmtId="170" fontId="91" fillId="0" borderId="0" xfId="0" applyNumberFormat="1" applyFont="1"/>
    <xf numFmtId="186" fontId="92" fillId="94" borderId="31" xfId="836" applyNumberFormat="1" applyFont="1" applyFill="1" applyBorder="1"/>
    <xf numFmtId="10" fontId="92" fillId="0" borderId="0" xfId="950" applyNumberFormat="1" applyFont="1" applyFill="1"/>
    <xf numFmtId="0" fontId="92" fillId="94" borderId="32" xfId="0" applyFont="1" applyFill="1" applyBorder="1"/>
    <xf numFmtId="49" fontId="92" fillId="94" borderId="33" xfId="836" applyNumberFormat="1" applyFont="1" applyFill="1" applyBorder="1" applyAlignment="1">
      <alignment horizontal="left"/>
    </xf>
    <xf numFmtId="186" fontId="92" fillId="94" borderId="34" xfId="836" applyNumberFormat="1" applyFont="1" applyFill="1" applyBorder="1"/>
    <xf numFmtId="10" fontId="92" fillId="0" borderId="0" xfId="950" applyNumberFormat="1" applyFont="1"/>
    <xf numFmtId="49" fontId="94" fillId="93" borderId="27" xfId="836" applyNumberFormat="1" applyFont="1" applyFill="1" applyBorder="1" applyAlignment="1">
      <alignment horizontal="left"/>
    </xf>
    <xf numFmtId="10" fontId="93" fillId="0" borderId="0" xfId="0" applyNumberFormat="1" applyFont="1"/>
    <xf numFmtId="169" fontId="92" fillId="0" borderId="0" xfId="0" applyNumberFormat="1" applyFont="1"/>
    <xf numFmtId="170" fontId="93" fillId="0" borderId="0" xfId="0" applyNumberFormat="1" applyFont="1"/>
    <xf numFmtId="0" fontId="95" fillId="93" borderId="32" xfId="0" applyFont="1" applyFill="1" applyBorder="1"/>
    <xf numFmtId="183" fontId="94" fillId="93" borderId="33" xfId="0" applyNumberFormat="1" applyFont="1" applyFill="1" applyBorder="1"/>
    <xf numFmtId="183" fontId="91" fillId="0" borderId="0" xfId="0" applyNumberFormat="1" applyFont="1"/>
    <xf numFmtId="170" fontId="92" fillId="95" borderId="0" xfId="0" applyNumberFormat="1" applyFont="1" applyFill="1"/>
    <xf numFmtId="169" fontId="92" fillId="0" borderId="0" xfId="828" applyNumberFormat="1" applyFont="1"/>
    <xf numFmtId="176" fontId="92" fillId="0" borderId="0" xfId="836" applyNumberFormat="1" applyFont="1" applyFill="1"/>
    <xf numFmtId="169" fontId="94" fillId="93" borderId="28" xfId="836" quotePrefix="1" applyNumberFormat="1" applyFont="1" applyFill="1" applyBorder="1" applyAlignment="1">
      <alignment horizontal="center" vertical="center"/>
    </xf>
    <xf numFmtId="172" fontId="92" fillId="0" borderId="25" xfId="0" applyNumberFormat="1" applyFont="1" applyBorder="1"/>
    <xf numFmtId="177" fontId="92" fillId="0" borderId="25" xfId="836" applyNumberFormat="1" applyFont="1" applyBorder="1"/>
    <xf numFmtId="190" fontId="92" fillId="0" borderId="30" xfId="0" applyNumberFormat="1" applyFont="1" applyBorder="1" applyAlignment="1">
      <alignment horizontal="right"/>
    </xf>
    <xf numFmtId="190" fontId="92" fillId="0" borderId="0" xfId="0" applyNumberFormat="1" applyFont="1"/>
    <xf numFmtId="4" fontId="92" fillId="95" borderId="0" xfId="0" applyNumberFormat="1" applyFont="1" applyFill="1"/>
    <xf numFmtId="172" fontId="92" fillId="0" borderId="0" xfId="0" applyNumberFormat="1" applyFont="1"/>
    <xf numFmtId="185" fontId="92" fillId="0" borderId="0" xfId="0" applyNumberFormat="1" applyFont="1"/>
    <xf numFmtId="10" fontId="100" fillId="0" borderId="0" xfId="0" applyNumberFormat="1" applyFont="1"/>
    <xf numFmtId="190" fontId="91" fillId="0" borderId="30" xfId="0" applyNumberFormat="1" applyFont="1" applyBorder="1" applyAlignment="1">
      <alignment horizontal="right"/>
    </xf>
    <xf numFmtId="0" fontId="101" fillId="0" borderId="0" xfId="0" applyFont="1"/>
    <xf numFmtId="0" fontId="102" fillId="0" borderId="0" xfId="0" applyFont="1"/>
    <xf numFmtId="170" fontId="102" fillId="0" borderId="0" xfId="0" applyNumberFormat="1" applyFont="1"/>
    <xf numFmtId="169" fontId="92" fillId="0" borderId="0" xfId="836" applyNumberFormat="1" applyFont="1" applyFill="1" applyBorder="1"/>
    <xf numFmtId="180" fontId="93" fillId="0" borderId="0" xfId="0" applyNumberFormat="1" applyFont="1"/>
    <xf numFmtId="169" fontId="92" fillId="0" borderId="0" xfId="836" applyNumberFormat="1" applyFont="1" applyBorder="1"/>
    <xf numFmtId="2" fontId="102" fillId="0" borderId="0" xfId="0" applyNumberFormat="1" applyFont="1"/>
    <xf numFmtId="10" fontId="92" fillId="0" borderId="0" xfId="950" applyNumberFormat="1" applyFont="1" applyBorder="1"/>
    <xf numFmtId="10" fontId="93" fillId="0" borderId="0" xfId="950" applyNumberFormat="1" applyFont="1" applyFill="1" applyBorder="1"/>
    <xf numFmtId="10" fontId="102" fillId="0" borderId="0" xfId="0" applyNumberFormat="1" applyFont="1"/>
    <xf numFmtId="0" fontId="102" fillId="0" borderId="0" xfId="0" quotePrefix="1" applyFont="1"/>
    <xf numFmtId="175" fontId="91" fillId="0" borderId="0" xfId="0" applyNumberFormat="1" applyFont="1"/>
    <xf numFmtId="181" fontId="92" fillId="0" borderId="0" xfId="0" applyNumberFormat="1" applyFont="1"/>
    <xf numFmtId="10" fontId="92" fillId="0" borderId="0" xfId="0" applyNumberFormat="1" applyFont="1"/>
    <xf numFmtId="0" fontId="103" fillId="0" borderId="29" xfId="0" applyFont="1" applyBorder="1"/>
    <xf numFmtId="190" fontId="103" fillId="0" borderId="30" xfId="0" applyNumberFormat="1" applyFont="1" applyBorder="1" applyAlignment="1">
      <alignment horizontal="right"/>
    </xf>
    <xf numFmtId="0" fontId="91" fillId="0" borderId="32" xfId="0" applyFont="1" applyBorder="1"/>
    <xf numFmtId="190" fontId="91" fillId="0" borderId="33" xfId="0" applyNumberFormat="1" applyFont="1" applyBorder="1" applyAlignment="1">
      <alignment horizontal="right"/>
    </xf>
    <xf numFmtId="198" fontId="92" fillId="0" borderId="0" xfId="828" applyNumberFormat="1" applyFont="1"/>
    <xf numFmtId="4" fontId="92" fillId="0" borderId="0" xfId="0" applyNumberFormat="1" applyFont="1"/>
    <xf numFmtId="0" fontId="80" fillId="0" borderId="36" xfId="0" applyFont="1" applyBorder="1" applyAlignment="1">
      <alignment horizontal="center"/>
    </xf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0" fontId="86" fillId="0" borderId="41" xfId="0" applyFont="1" applyBorder="1" applyAlignment="1">
      <alignment horizontal="left" vertical="center" wrapText="1"/>
    </xf>
    <xf numFmtId="191" fontId="86" fillId="73" borderId="70" xfId="904" applyNumberFormat="1" applyFont="1" applyFill="1" applyBorder="1" applyAlignment="1">
      <alignment horizontal="center" vertical="center"/>
    </xf>
    <xf numFmtId="203" fontId="92" fillId="0" borderId="53" xfId="904" applyNumberFormat="1" applyFont="1" applyBorder="1" applyAlignment="1">
      <alignment vertical="center"/>
    </xf>
    <xf numFmtId="204" fontId="87" fillId="0" borderId="1" xfId="904" applyNumberFormat="1" applyFont="1" applyBorder="1" applyAlignment="1">
      <alignment vertical="center"/>
    </xf>
    <xf numFmtId="0" fontId="92" fillId="0" borderId="41" xfId="877" applyFont="1" applyBorder="1" applyAlignment="1">
      <alignment horizontal="left" vertical="center" wrapText="1"/>
    </xf>
    <xf numFmtId="201" fontId="104" fillId="0" borderId="0" xfId="0" applyNumberFormat="1" applyFont="1"/>
    <xf numFmtId="165" fontId="87" fillId="0" borderId="0" xfId="903" applyNumberFormat="1" applyFont="1" applyAlignment="1">
      <alignment vertical="center"/>
    </xf>
    <xf numFmtId="165" fontId="89" fillId="100" borderId="71" xfId="904" applyNumberFormat="1" applyFont="1" applyFill="1" applyBorder="1" applyAlignment="1">
      <alignment vertical="center"/>
    </xf>
    <xf numFmtId="165" fontId="88" fillId="100" borderId="71" xfId="904" applyNumberFormat="1" applyFont="1" applyFill="1" applyBorder="1" applyAlignment="1">
      <alignment vertical="center"/>
    </xf>
    <xf numFmtId="165" fontId="89" fillId="100" borderId="71" xfId="903" applyNumberFormat="1" applyFont="1" applyFill="1" applyBorder="1" applyAlignment="1">
      <alignment vertical="center"/>
    </xf>
    <xf numFmtId="202" fontId="89" fillId="0" borderId="0" xfId="950" applyNumberFormat="1" applyFont="1" applyFill="1" applyBorder="1" applyAlignment="1">
      <alignment vertical="center"/>
    </xf>
    <xf numFmtId="165" fontId="87" fillId="0" borderId="1" xfId="904" applyNumberFormat="1" applyFont="1" applyBorder="1" applyAlignment="1">
      <alignment vertical="center"/>
    </xf>
    <xf numFmtId="165" fontId="87" fillId="0" borderId="44" xfId="904" applyNumberFormat="1" applyFont="1" applyBorder="1" applyAlignment="1">
      <alignment vertical="center"/>
    </xf>
    <xf numFmtId="165" fontId="86" fillId="73" borderId="1" xfId="904" applyNumberFormat="1" applyFont="1" applyFill="1" applyBorder="1" applyAlignment="1">
      <alignment vertical="center"/>
    </xf>
    <xf numFmtId="165" fontId="86" fillId="73" borderId="44" xfId="904" applyNumberFormat="1" applyFont="1" applyFill="1" applyBorder="1" applyAlignment="1">
      <alignment vertical="center"/>
    </xf>
    <xf numFmtId="165" fontId="86" fillId="73" borderId="1" xfId="904" applyNumberFormat="1" applyFont="1" applyFill="1" applyBorder="1" applyAlignment="1">
      <alignment horizontal="right" vertical="center"/>
    </xf>
    <xf numFmtId="165" fontId="86" fillId="73" borderId="45" xfId="904" applyNumberFormat="1" applyFont="1" applyFill="1" applyBorder="1" applyAlignment="1">
      <alignment vertical="center"/>
    </xf>
    <xf numFmtId="165" fontId="86" fillId="73" borderId="46" xfId="904" applyNumberFormat="1" applyFont="1" applyFill="1" applyBorder="1" applyAlignment="1">
      <alignment vertical="center"/>
    </xf>
    <xf numFmtId="165" fontId="86" fillId="0" borderId="57" xfId="904" applyNumberFormat="1" applyFont="1" applyBorder="1" applyAlignment="1">
      <alignment vertical="center"/>
    </xf>
    <xf numFmtId="165" fontId="86" fillId="0" borderId="64" xfId="904" applyNumberFormat="1" applyFont="1" applyBorder="1" applyAlignment="1">
      <alignment vertical="center"/>
    </xf>
    <xf numFmtId="165" fontId="87" fillId="0" borderId="0" xfId="903" applyNumberFormat="1" applyFont="1"/>
    <xf numFmtId="202" fontId="89" fillId="0" borderId="0" xfId="903" applyNumberFormat="1" applyFont="1" applyAlignment="1">
      <alignment vertical="center"/>
    </xf>
    <xf numFmtId="202" fontId="89" fillId="0" borderId="0" xfId="903" applyNumberFormat="1" applyFont="1" applyAlignment="1">
      <alignment horizontal="center" vertical="center"/>
    </xf>
    <xf numFmtId="165" fontId="88" fillId="100" borderId="81" xfId="904" applyNumberFormat="1" applyFont="1" applyFill="1" applyBorder="1" applyAlignment="1">
      <alignment horizontal="center" vertical="center"/>
    </xf>
    <xf numFmtId="202" fontId="88" fillId="100" borderId="82" xfId="904" applyNumberFormat="1" applyFont="1" applyFill="1" applyBorder="1" applyAlignment="1">
      <alignment horizontal="center" vertical="center"/>
    </xf>
    <xf numFmtId="202" fontId="89" fillId="100" borderId="72" xfId="950" applyNumberFormat="1" applyFont="1" applyFill="1" applyBorder="1" applyAlignment="1">
      <alignment vertical="center"/>
    </xf>
    <xf numFmtId="165" fontId="88" fillId="100" borderId="75" xfId="904" applyNumberFormat="1" applyFont="1" applyFill="1" applyBorder="1" applyAlignment="1">
      <alignment vertical="center"/>
    </xf>
    <xf numFmtId="202" fontId="88" fillId="100" borderId="76" xfId="950" applyNumberFormat="1" applyFont="1" applyFill="1" applyBorder="1" applyAlignment="1">
      <alignment vertical="center"/>
    </xf>
    <xf numFmtId="202" fontId="89" fillId="100" borderId="72" xfId="904" applyNumberFormat="1" applyFont="1" applyFill="1" applyBorder="1" applyAlignment="1">
      <alignment vertical="center"/>
    </xf>
    <xf numFmtId="165" fontId="89" fillId="100" borderId="73" xfId="904" applyNumberFormat="1" applyFont="1" applyFill="1" applyBorder="1" applyAlignment="1">
      <alignment vertical="center"/>
    </xf>
    <xf numFmtId="202" fontId="89" fillId="100" borderId="74" xfId="904" applyNumberFormat="1" applyFont="1" applyFill="1" applyBorder="1" applyAlignment="1">
      <alignment vertical="center"/>
    </xf>
    <xf numFmtId="165" fontId="88" fillId="100" borderId="77" xfId="904" applyNumberFormat="1" applyFont="1" applyFill="1" applyBorder="1" applyAlignment="1">
      <alignment horizontal="center" vertical="center"/>
    </xf>
    <xf numFmtId="202" fontId="88" fillId="100" borderId="78" xfId="0" applyNumberFormat="1" applyFont="1" applyFill="1" applyBorder="1" applyAlignment="1">
      <alignment horizontal="center" vertical="center"/>
    </xf>
    <xf numFmtId="202" fontId="89" fillId="100" borderId="72" xfId="0" applyNumberFormat="1" applyFont="1" applyFill="1" applyBorder="1" applyAlignment="1">
      <alignment horizontal="center" vertical="center" wrapText="1"/>
    </xf>
    <xf numFmtId="202" fontId="89" fillId="100" borderId="72" xfId="1700" applyNumberFormat="1" applyFont="1" applyFill="1" applyBorder="1" applyAlignment="1">
      <alignment horizontal="center" vertical="center" wrapText="1"/>
    </xf>
    <xf numFmtId="202" fontId="88" fillId="100" borderId="72" xfId="0" applyNumberFormat="1" applyFont="1" applyFill="1" applyBorder="1" applyAlignment="1">
      <alignment horizontal="center" vertical="center" wrapText="1"/>
    </xf>
    <xf numFmtId="202" fontId="88" fillId="100" borderId="76" xfId="0" applyNumberFormat="1" applyFont="1" applyFill="1" applyBorder="1" applyAlignment="1">
      <alignment horizontal="center" vertical="center" wrapText="1"/>
    </xf>
    <xf numFmtId="202" fontId="88" fillId="100" borderId="72" xfId="1700" applyNumberFormat="1" applyFont="1" applyFill="1" applyBorder="1" applyAlignment="1">
      <alignment horizontal="center" vertical="center" wrapText="1"/>
    </xf>
    <xf numFmtId="203" fontId="86" fillId="96" borderId="53" xfId="904" applyNumberFormat="1" applyFont="1" applyFill="1" applyBorder="1" applyAlignment="1">
      <alignment vertical="center"/>
    </xf>
    <xf numFmtId="203" fontId="86" fillId="96" borderId="1" xfId="904" applyNumberFormat="1" applyFont="1" applyFill="1" applyBorder="1" applyAlignment="1">
      <alignment vertical="center"/>
    </xf>
    <xf numFmtId="165" fontId="87" fillId="0" borderId="42" xfId="0" applyNumberFormat="1" applyFont="1" applyBorder="1" applyAlignment="1">
      <alignment horizontal="right" vertical="center" wrapText="1"/>
    </xf>
    <xf numFmtId="165" fontId="86" fillId="0" borderId="42" xfId="0" applyNumberFormat="1" applyFont="1" applyBorder="1" applyAlignment="1">
      <alignment horizontal="right" vertical="center" wrapText="1"/>
    </xf>
    <xf numFmtId="165" fontId="86" fillId="0" borderId="43" xfId="0" applyNumberFormat="1" applyFont="1" applyBorder="1" applyAlignment="1">
      <alignment horizontal="right" vertical="center" wrapText="1"/>
    </xf>
    <xf numFmtId="165" fontId="86" fillId="96" borderId="42" xfId="0" applyNumberFormat="1" applyFont="1" applyFill="1" applyBorder="1" applyAlignment="1">
      <alignment horizontal="right" vertical="center" wrapText="1"/>
    </xf>
    <xf numFmtId="165" fontId="87" fillId="96" borderId="42" xfId="0" applyNumberFormat="1" applyFont="1" applyFill="1" applyBorder="1" applyAlignment="1">
      <alignment horizontal="right" vertical="center" wrapText="1"/>
    </xf>
    <xf numFmtId="165" fontId="86" fillId="96" borderId="47" xfId="0" applyNumberFormat="1" applyFont="1" applyFill="1" applyBorder="1" applyAlignment="1">
      <alignment vertical="center" wrapText="1"/>
    </xf>
    <xf numFmtId="165" fontId="69" fillId="0" borderId="0" xfId="903" applyNumberFormat="1" applyFont="1"/>
    <xf numFmtId="49" fontId="92" fillId="94" borderId="28" xfId="836" applyNumberFormat="1" applyFont="1" applyFill="1" applyBorder="1" applyAlignment="1">
      <alignment horizontal="center"/>
    </xf>
    <xf numFmtId="49" fontId="92" fillId="94" borderId="30" xfId="836" applyNumberFormat="1" applyFont="1" applyFill="1" applyBorder="1" applyAlignment="1">
      <alignment horizontal="center"/>
    </xf>
    <xf numFmtId="0" fontId="80" fillId="0" borderId="63" xfId="0" applyFont="1" applyBorder="1" applyAlignment="1">
      <alignment horizontal="right" vertical="center"/>
    </xf>
    <xf numFmtId="0" fontId="80" fillId="0" borderId="63" xfId="0" applyFont="1" applyBorder="1" applyAlignment="1">
      <alignment horizontal="center" vertical="center"/>
    </xf>
    <xf numFmtId="165" fontId="77" fillId="0" borderId="0" xfId="1700" applyFont="1" applyAlignment="1">
      <alignment horizontal="right" vertical="center"/>
    </xf>
    <xf numFmtId="165" fontId="80" fillId="0" borderId="0" xfId="1700" applyFont="1" applyAlignment="1">
      <alignment horizontal="right" vertical="center"/>
    </xf>
    <xf numFmtId="165" fontId="92" fillId="99" borderId="0" xfId="1700" applyFont="1" applyFill="1"/>
    <xf numFmtId="165" fontId="70" fillId="99" borderId="0" xfId="1700" applyFont="1" applyFill="1"/>
    <xf numFmtId="0" fontId="91" fillId="96" borderId="25" xfId="0" applyFont="1" applyFill="1" applyBorder="1"/>
    <xf numFmtId="0" fontId="91" fillId="0" borderId="86" xfId="0" applyFont="1" applyBorder="1"/>
    <xf numFmtId="3" fontId="92" fillId="0" borderId="0" xfId="0" applyNumberFormat="1" applyFont="1"/>
    <xf numFmtId="3" fontId="91" fillId="0" borderId="0" xfId="0" applyNumberFormat="1" applyFont="1"/>
    <xf numFmtId="165" fontId="69" fillId="0" borderId="0" xfId="1700" applyFont="1"/>
    <xf numFmtId="202" fontId="88" fillId="0" borderId="0" xfId="903" applyNumberFormat="1" applyFont="1" applyAlignment="1">
      <alignment horizontal="center" vertical="center"/>
    </xf>
    <xf numFmtId="3" fontId="88" fillId="0" borderId="0" xfId="904" applyNumberFormat="1" applyFont="1" applyAlignment="1">
      <alignment horizontal="center" vertical="center"/>
    </xf>
    <xf numFmtId="202" fontId="88" fillId="0" borderId="0" xfId="904" applyNumberFormat="1" applyFont="1" applyAlignment="1">
      <alignment horizontal="center" vertical="center"/>
    </xf>
    <xf numFmtId="202" fontId="89" fillId="0" borderId="0" xfId="904" applyNumberFormat="1" applyFont="1" applyAlignment="1">
      <alignment vertical="center"/>
    </xf>
    <xf numFmtId="202" fontId="88" fillId="0" borderId="0" xfId="904" applyNumberFormat="1" applyFont="1" applyAlignment="1">
      <alignment vertical="center"/>
    </xf>
    <xf numFmtId="0" fontId="77" fillId="0" borderId="0" xfId="0" applyFont="1" applyAlignment="1">
      <alignment horizontal="right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201" fontId="70" fillId="0" borderId="0" xfId="0" applyNumberFormat="1" applyFont="1"/>
    <xf numFmtId="0" fontId="72" fillId="0" borderId="25" xfId="0" applyFont="1" applyBorder="1" applyAlignment="1">
      <alignment vertical="center"/>
    </xf>
    <xf numFmtId="0" fontId="72" fillId="0" borderId="25" xfId="0" applyFont="1" applyBorder="1" applyAlignment="1">
      <alignment horizontal="center" vertical="center"/>
    </xf>
    <xf numFmtId="203" fontId="71" fillId="0" borderId="25" xfId="0" applyNumberFormat="1" applyFont="1" applyBorder="1" applyAlignment="1">
      <alignment horizontal="right" vertical="center"/>
    </xf>
    <xf numFmtId="203" fontId="72" fillId="0" borderId="25" xfId="0" applyNumberFormat="1" applyFont="1" applyBorder="1" applyAlignment="1">
      <alignment horizontal="right" vertical="center"/>
    </xf>
    <xf numFmtId="165" fontId="71" fillId="0" borderId="0" xfId="1700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3" fontId="105" fillId="0" borderId="0" xfId="903" applyNumberFormat="1" applyFont="1"/>
    <xf numFmtId="165" fontId="105" fillId="0" borderId="0" xfId="1700" applyFont="1" applyFill="1" applyBorder="1"/>
    <xf numFmtId="165" fontId="91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17" fontId="91" fillId="0" borderId="0" xfId="0" applyNumberFormat="1" applyFont="1" applyAlignment="1">
      <alignment horizontal="center"/>
    </xf>
    <xf numFmtId="165" fontId="92" fillId="0" borderId="0" xfId="0" applyNumberFormat="1" applyFont="1"/>
    <xf numFmtId="0" fontId="95" fillId="0" borderId="0" xfId="0" applyFont="1"/>
    <xf numFmtId="165" fontId="91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17" fontId="91" fillId="0" borderId="0" xfId="0" applyNumberFormat="1" applyFont="1" applyAlignment="1">
      <alignment horizontal="center" vertical="center"/>
    </xf>
    <xf numFmtId="165" fontId="92" fillId="0" borderId="0" xfId="1700" applyFont="1"/>
    <xf numFmtId="0" fontId="86" fillId="99" borderId="0" xfId="0" applyFont="1" applyFill="1"/>
    <xf numFmtId="0" fontId="105" fillId="99" borderId="0" xfId="0" applyFont="1" applyFill="1" applyAlignment="1">
      <alignment horizontal="center"/>
    </xf>
    <xf numFmtId="165" fontId="106" fillId="99" borderId="0" xfId="1700" applyFont="1" applyFill="1"/>
    <xf numFmtId="203" fontId="107" fillId="73" borderId="65" xfId="904" applyNumberFormat="1" applyFont="1" applyFill="1" applyBorder="1" applyAlignment="1">
      <alignment horizontal="center" vertical="top"/>
    </xf>
    <xf numFmtId="203" fontId="107" fillId="73" borderId="55" xfId="904" applyNumberFormat="1" applyFont="1" applyFill="1" applyBorder="1" applyAlignment="1">
      <alignment horizontal="center" vertical="top"/>
    </xf>
    <xf numFmtId="188" fontId="73" fillId="0" borderId="0" xfId="0" applyNumberFormat="1" applyFont="1"/>
    <xf numFmtId="0" fontId="108" fillId="0" borderId="0" xfId="0" applyFont="1" applyAlignment="1">
      <alignment vertical="center" wrapText="1"/>
    </xf>
    <xf numFmtId="205" fontId="72" fillId="0" borderId="0" xfId="0" applyNumberFormat="1" applyFont="1"/>
    <xf numFmtId="14" fontId="91" fillId="73" borderId="88" xfId="904" applyNumberFormat="1" applyFont="1" applyFill="1" applyBorder="1" applyAlignment="1">
      <alignment horizontal="center" vertical="center"/>
    </xf>
    <xf numFmtId="188" fontId="92" fillId="0" borderId="0" xfId="836" applyNumberFormat="1" applyFont="1" applyBorder="1"/>
    <xf numFmtId="183" fontId="92" fillId="0" borderId="0" xfId="0" applyNumberFormat="1" applyFont="1"/>
    <xf numFmtId="0" fontId="109" fillId="0" borderId="0" xfId="1705"/>
    <xf numFmtId="166" fontId="109" fillId="0" borderId="0" xfId="828" applyFont="1"/>
    <xf numFmtId="198" fontId="109" fillId="0" borderId="0" xfId="828" applyNumberFormat="1" applyFont="1"/>
    <xf numFmtId="0" fontId="78" fillId="0" borderId="0" xfId="0" applyFont="1" applyAlignment="1">
      <alignment vertical="center"/>
    </xf>
    <xf numFmtId="165" fontId="87" fillId="0" borderId="0" xfId="1700" applyFont="1"/>
    <xf numFmtId="206" fontId="92" fillId="0" borderId="0" xfId="0" applyNumberFormat="1" applyFont="1"/>
    <xf numFmtId="165" fontId="87" fillId="0" borderId="0" xfId="904" applyNumberFormat="1" applyFont="1"/>
    <xf numFmtId="165" fontId="87" fillId="0" borderId="0" xfId="0" applyNumberFormat="1" applyFont="1"/>
    <xf numFmtId="0" fontId="73" fillId="102" borderId="0" xfId="0" applyFont="1" applyFill="1"/>
    <xf numFmtId="0" fontId="72" fillId="102" borderId="0" xfId="0" applyFont="1" applyFill="1"/>
    <xf numFmtId="3" fontId="72" fillId="102" borderId="0" xfId="0" applyNumberFormat="1" applyFont="1" applyFill="1" applyAlignment="1">
      <alignment horizontal="right"/>
    </xf>
    <xf numFmtId="10" fontId="72" fillId="102" borderId="0" xfId="0" applyNumberFormat="1" applyFont="1" applyFill="1" applyAlignment="1">
      <alignment horizontal="right"/>
    </xf>
    <xf numFmtId="0" fontId="80" fillId="102" borderId="63" xfId="0" applyFont="1" applyFill="1" applyBorder="1" applyAlignment="1">
      <alignment horizontal="center" vertical="center"/>
    </xf>
    <xf numFmtId="0" fontId="71" fillId="102" borderId="36" xfId="0" applyFont="1" applyFill="1" applyBorder="1" applyAlignment="1">
      <alignment horizontal="center" vertical="center"/>
    </xf>
    <xf numFmtId="0" fontId="80" fillId="102" borderId="0" xfId="0" applyFont="1" applyFill="1" applyAlignment="1">
      <alignment horizontal="center" vertical="center"/>
    </xf>
    <xf numFmtId="0" fontId="72" fillId="102" borderId="0" xfId="0" applyFont="1" applyFill="1" applyAlignment="1">
      <alignment vertical="center"/>
    </xf>
    <xf numFmtId="3" fontId="77" fillId="102" borderId="0" xfId="0" applyNumberFormat="1" applyFont="1" applyFill="1" applyAlignment="1">
      <alignment horizontal="right" vertical="center"/>
    </xf>
    <xf numFmtId="0" fontId="71" fillId="102" borderId="0" xfId="0" applyFont="1" applyFill="1" applyAlignment="1">
      <alignment vertical="center"/>
    </xf>
    <xf numFmtId="3" fontId="80" fillId="102" borderId="0" xfId="0" applyNumberFormat="1" applyFont="1" applyFill="1" applyAlignment="1">
      <alignment horizontal="right" vertical="center"/>
    </xf>
    <xf numFmtId="0" fontId="73" fillId="102" borderId="0" xfId="0" applyFont="1" applyFill="1" applyAlignment="1">
      <alignment vertical="center"/>
    </xf>
    <xf numFmtId="165" fontId="69" fillId="102" borderId="0" xfId="1700" applyFont="1" applyFill="1" applyAlignment="1">
      <alignment vertical="center"/>
    </xf>
    <xf numFmtId="165" fontId="73" fillId="102" borderId="0" xfId="1700" applyFont="1" applyFill="1" applyAlignment="1">
      <alignment vertical="center"/>
    </xf>
    <xf numFmtId="0" fontId="80" fillId="102" borderId="0" xfId="0" applyFont="1" applyFill="1"/>
    <xf numFmtId="0" fontId="77" fillId="102" borderId="0" xfId="0" applyFont="1" applyFill="1" applyAlignment="1">
      <alignment vertical="center"/>
    </xf>
    <xf numFmtId="202" fontId="72" fillId="102" borderId="0" xfId="0" applyNumberFormat="1" applyFont="1" applyFill="1" applyAlignment="1">
      <alignment horizontal="right" vertical="center"/>
    </xf>
    <xf numFmtId="201" fontId="72" fillId="102" borderId="0" xfId="0" applyNumberFormat="1" applyFont="1" applyFill="1" applyAlignment="1">
      <alignment horizontal="right" vertical="center"/>
    </xf>
    <xf numFmtId="0" fontId="78" fillId="102" borderId="0" xfId="0" applyFont="1" applyFill="1"/>
    <xf numFmtId="0" fontId="71" fillId="102" borderId="36" xfId="0" applyFont="1" applyFill="1" applyBorder="1" applyAlignment="1">
      <alignment vertical="center"/>
    </xf>
    <xf numFmtId="0" fontId="75" fillId="102" borderId="0" xfId="0" applyFont="1" applyFill="1" applyAlignment="1">
      <alignment horizontal="justify"/>
    </xf>
    <xf numFmtId="202" fontId="71" fillId="102" borderId="0" xfId="0" applyNumberFormat="1" applyFont="1" applyFill="1" applyAlignment="1">
      <alignment horizontal="right" vertical="center"/>
    </xf>
    <xf numFmtId="0" fontId="110" fillId="0" borderId="0" xfId="0" applyFont="1" applyAlignment="1">
      <alignment horizontal="left"/>
    </xf>
    <xf numFmtId="0" fontId="71" fillId="102" borderId="36" xfId="0" applyFont="1" applyFill="1" applyBorder="1" applyAlignment="1">
      <alignment horizontal="left" vertical="center"/>
    </xf>
    <xf numFmtId="2" fontId="77" fillId="0" borderId="0" xfId="0" applyNumberFormat="1" applyFont="1" applyAlignment="1">
      <alignment horizontal="right" vertical="center"/>
    </xf>
    <xf numFmtId="3" fontId="111" fillId="0" borderId="0" xfId="0" applyNumberFormat="1" applyFont="1"/>
    <xf numFmtId="165" fontId="73" fillId="0" borderId="0" xfId="0" applyNumberFormat="1" applyFont="1" applyAlignment="1">
      <alignment vertical="center"/>
    </xf>
    <xf numFmtId="9" fontId="72" fillId="0" borderId="0" xfId="950" applyFont="1"/>
    <xf numFmtId="3" fontId="77" fillId="0" borderId="38" xfId="0" applyNumberFormat="1" applyFont="1" applyBorder="1" applyAlignment="1">
      <alignment horizontal="right" vertical="center"/>
    </xf>
    <xf numFmtId="10" fontId="77" fillId="0" borderId="0" xfId="0" applyNumberFormat="1" applyFont="1" applyAlignment="1">
      <alignment horizontal="right" vertical="center"/>
    </xf>
    <xf numFmtId="10" fontId="77" fillId="0" borderId="38" xfId="0" applyNumberFormat="1" applyFont="1" applyBorder="1" applyAlignment="1">
      <alignment horizontal="right" vertical="center"/>
    </xf>
    <xf numFmtId="0" fontId="77" fillId="0" borderId="0" xfId="0" applyFont="1" applyAlignment="1">
      <alignment horizontal="left" vertical="center" indent="2"/>
    </xf>
    <xf numFmtId="0" fontId="113" fillId="0" borderId="0" xfId="0" applyFont="1" applyAlignment="1">
      <alignment vertical="center"/>
    </xf>
    <xf numFmtId="203" fontId="116" fillId="0" borderId="0" xfId="904" applyNumberFormat="1" applyFont="1" applyAlignment="1">
      <alignment vertical="center"/>
    </xf>
    <xf numFmtId="0" fontId="119" fillId="0" borderId="0" xfId="0" applyFont="1" applyAlignment="1">
      <alignment vertical="center"/>
    </xf>
    <xf numFmtId="203" fontId="120" fillId="0" borderId="0" xfId="904" applyNumberFormat="1" applyFont="1" applyAlignment="1">
      <alignment vertical="center"/>
    </xf>
    <xf numFmtId="10" fontId="0" fillId="0" borderId="0" xfId="950" applyNumberFormat="1" applyFont="1"/>
    <xf numFmtId="0" fontId="80" fillId="0" borderId="0" xfId="0" applyFont="1" applyAlignment="1">
      <alignment horizontal="right" vertical="center"/>
    </xf>
    <xf numFmtId="0" fontId="122" fillId="0" borderId="0" xfId="0" applyFont="1" applyAlignment="1">
      <alignment horizontal="justify" vertical="center"/>
    </xf>
    <xf numFmtId="0" fontId="122" fillId="0" borderId="0" xfId="0" applyFont="1" applyAlignment="1">
      <alignment horizontal="center" vertical="center"/>
    </xf>
    <xf numFmtId="0" fontId="124" fillId="0" borderId="63" xfId="0" applyFont="1" applyBorder="1" applyAlignment="1">
      <alignment vertical="center"/>
    </xf>
    <xf numFmtId="188" fontId="117" fillId="0" borderId="0" xfId="0" applyNumberFormat="1" applyFont="1" applyAlignment="1">
      <alignment horizontal="right" vertical="center"/>
    </xf>
    <xf numFmtId="188" fontId="118" fillId="0" borderId="0" xfId="0" applyNumberFormat="1" applyFont="1" applyAlignment="1">
      <alignment horizontal="right" vertical="center"/>
    </xf>
    <xf numFmtId="188" fontId="116" fillId="0" borderId="0" xfId="904" applyNumberFormat="1" applyFont="1" applyAlignment="1">
      <alignment horizontal="right" vertical="center"/>
    </xf>
    <xf numFmtId="188" fontId="77" fillId="0" borderId="0" xfId="0" applyNumberFormat="1" applyFont="1" applyAlignment="1">
      <alignment horizontal="right" vertical="center"/>
    </xf>
    <xf numFmtId="188" fontId="87" fillId="0" borderId="0" xfId="950" applyNumberFormat="1" applyFont="1"/>
    <xf numFmtId="203" fontId="92" fillId="0" borderId="1" xfId="904" applyNumberFormat="1" applyFont="1" applyBorder="1" applyAlignment="1">
      <alignment vertical="center" wrapText="1"/>
    </xf>
    <xf numFmtId="203" fontId="92" fillId="0" borderId="1" xfId="904" applyNumberFormat="1" applyFont="1" applyBorder="1" applyAlignment="1">
      <alignment horizontal="center" vertical="center"/>
    </xf>
    <xf numFmtId="17" fontId="80" fillId="0" borderId="63" xfId="0" applyNumberFormat="1" applyFont="1" applyBorder="1" applyAlignment="1">
      <alignment horizontal="center" vertical="center"/>
    </xf>
    <xf numFmtId="17" fontId="71" fillId="102" borderId="36" xfId="0" applyNumberFormat="1" applyFont="1" applyFill="1" applyBorder="1" applyAlignment="1">
      <alignment horizontal="center" vertical="center"/>
    </xf>
    <xf numFmtId="14" fontId="71" fillId="0" borderId="36" xfId="0" applyNumberFormat="1" applyFont="1" applyBorder="1" applyAlignment="1">
      <alignment horizontal="center"/>
    </xf>
    <xf numFmtId="0" fontId="125" fillId="0" borderId="89" xfId="0" applyFont="1" applyBorder="1" applyAlignment="1">
      <alignment horizontal="left" vertical="center"/>
    </xf>
    <xf numFmtId="0" fontId="125" fillId="0" borderId="89" xfId="0" applyFont="1" applyBorder="1" applyAlignment="1">
      <alignment horizontal="center" vertical="center" wrapText="1"/>
    </xf>
    <xf numFmtId="0" fontId="108" fillId="0" borderId="0" xfId="0" applyFont="1"/>
    <xf numFmtId="0" fontId="125" fillId="0" borderId="0" xfId="0" applyFont="1" applyAlignment="1">
      <alignment horizontal="left" vertical="center"/>
    </xf>
    <xf numFmtId="0" fontId="126" fillId="0" borderId="0" xfId="0" applyFont="1" applyAlignment="1">
      <alignment horizontal="left" vertical="center"/>
    </xf>
    <xf numFmtId="3" fontId="126" fillId="0" borderId="0" xfId="0" applyNumberFormat="1" applyFont="1" applyAlignment="1">
      <alignment horizontal="right" vertical="center"/>
    </xf>
    <xf numFmtId="0" fontId="125" fillId="0" borderId="90" xfId="0" applyFont="1" applyBorder="1" applyAlignment="1">
      <alignment horizontal="left" vertical="center"/>
    </xf>
    <xf numFmtId="3" fontId="125" fillId="0" borderId="24" xfId="0" applyNumberFormat="1" applyFont="1" applyBorder="1" applyAlignment="1">
      <alignment horizontal="right" vertical="center"/>
    </xf>
    <xf numFmtId="3" fontId="125" fillId="0" borderId="91" xfId="0" applyNumberFormat="1" applyFont="1" applyBorder="1" applyAlignment="1">
      <alignment horizontal="right" vertical="center"/>
    </xf>
    <xf numFmtId="0" fontId="126" fillId="103" borderId="0" xfId="0" applyFont="1" applyFill="1" applyAlignment="1">
      <alignment horizontal="left" vertical="center"/>
    </xf>
    <xf numFmtId="3" fontId="127" fillId="103" borderId="0" xfId="0" applyNumberFormat="1" applyFont="1" applyFill="1" applyAlignment="1">
      <alignment horizontal="left" vertical="center"/>
    </xf>
    <xf numFmtId="3" fontId="127" fillId="0" borderId="0" xfId="0" applyNumberFormat="1" applyFont="1" applyAlignment="1">
      <alignment horizontal="right" vertical="center"/>
    </xf>
    <xf numFmtId="0" fontId="128" fillId="0" borderId="0" xfId="0" applyFont="1" applyAlignment="1">
      <alignment horizontal="right" vertical="center"/>
    </xf>
    <xf numFmtId="3" fontId="125" fillId="0" borderId="0" xfId="0" applyNumberFormat="1" applyFont="1" applyAlignment="1">
      <alignment horizontal="right" vertical="center"/>
    </xf>
    <xf numFmtId="0" fontId="108" fillId="0" borderId="0" xfId="0" applyFont="1" applyAlignment="1">
      <alignment vertical="center"/>
    </xf>
    <xf numFmtId="3" fontId="129" fillId="0" borderId="0" xfId="0" applyNumberFormat="1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80" fillId="0" borderId="0" xfId="0" applyFont="1" applyAlignment="1">
      <alignment vertical="center" wrapText="1"/>
    </xf>
    <xf numFmtId="10" fontId="80" fillId="0" borderId="0" xfId="0" applyNumberFormat="1" applyFont="1" applyAlignment="1">
      <alignment horizontal="right" vertical="center"/>
    </xf>
    <xf numFmtId="0" fontId="111" fillId="0" borderId="0" xfId="0" applyFont="1" applyAlignment="1">
      <alignment vertical="center"/>
    </xf>
    <xf numFmtId="3" fontId="77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165" fontId="89" fillId="0" borderId="0" xfId="1700" applyFont="1" applyAlignment="1">
      <alignment vertical="center"/>
    </xf>
    <xf numFmtId="0" fontId="71" fillId="0" borderId="63" xfId="0" applyFont="1" applyBorder="1" applyAlignment="1">
      <alignment horizontal="left"/>
    </xf>
    <xf numFmtId="0" fontId="71" fillId="0" borderId="63" xfId="0" applyFont="1" applyBorder="1" applyAlignment="1">
      <alignment horizontal="center"/>
    </xf>
    <xf numFmtId="10" fontId="73" fillId="0" borderId="0" xfId="0" applyNumberFormat="1" applyFont="1"/>
    <xf numFmtId="0" fontId="72" fillId="0" borderId="85" xfId="0" applyFont="1" applyBorder="1" applyAlignment="1">
      <alignment vertical="center"/>
    </xf>
    <xf numFmtId="0" fontId="72" fillId="0" borderId="63" xfId="0" applyFont="1" applyBorder="1" applyAlignment="1">
      <alignment horizontal="center" vertical="center"/>
    </xf>
    <xf numFmtId="203" fontId="71" fillId="0" borderId="63" xfId="0" applyNumberFormat="1" applyFont="1" applyBorder="1" applyAlignment="1">
      <alignment horizontal="right" vertical="center"/>
    </xf>
    <xf numFmtId="0" fontId="71" fillId="0" borderId="85" xfId="0" applyFont="1" applyBorder="1" applyAlignment="1">
      <alignment vertical="center"/>
    </xf>
    <xf numFmtId="0" fontId="82" fillId="101" borderId="0" xfId="0" applyFont="1" applyFill="1"/>
    <xf numFmtId="10" fontId="82" fillId="101" borderId="0" xfId="950" applyNumberFormat="1" applyFont="1" applyFill="1"/>
    <xf numFmtId="3" fontId="82" fillId="101" borderId="0" xfId="0" applyNumberFormat="1" applyFont="1" applyFill="1"/>
    <xf numFmtId="10" fontId="82" fillId="0" borderId="0" xfId="950" applyNumberFormat="1" applyFont="1" applyFill="1"/>
    <xf numFmtId="166" fontId="109" fillId="0" borderId="0" xfId="828" applyFont="1" applyFill="1"/>
    <xf numFmtId="165" fontId="86" fillId="0" borderId="1" xfId="904" applyNumberFormat="1" applyFont="1" applyBorder="1" applyAlignment="1">
      <alignment vertical="center"/>
    </xf>
    <xf numFmtId="165" fontId="88" fillId="0" borderId="71" xfId="904" applyNumberFormat="1" applyFont="1" applyBorder="1" applyAlignment="1">
      <alignment vertical="center"/>
    </xf>
    <xf numFmtId="165" fontId="89" fillId="0" borderId="71" xfId="904" applyNumberFormat="1" applyFont="1" applyBorder="1" applyAlignment="1">
      <alignment vertical="center"/>
    </xf>
    <xf numFmtId="17" fontId="71" fillId="0" borderId="36" xfId="0" applyNumberFormat="1" applyFont="1" applyBorder="1" applyAlignment="1">
      <alignment horizontal="center" vertical="center"/>
    </xf>
    <xf numFmtId="165" fontId="92" fillId="101" borderId="0" xfId="0" applyNumberFormat="1" applyFont="1" applyFill="1"/>
    <xf numFmtId="165" fontId="92" fillId="101" borderId="25" xfId="0" applyNumberFormat="1" applyFont="1" applyFill="1" applyBorder="1"/>
    <xf numFmtId="165" fontId="91" fillId="101" borderId="0" xfId="0" applyNumberFormat="1" applyFont="1" applyFill="1"/>
    <xf numFmtId="165" fontId="91" fillId="101" borderId="0" xfId="0" applyNumberFormat="1" applyFont="1" applyFill="1" applyAlignment="1">
      <alignment horizontal="center"/>
    </xf>
    <xf numFmtId="0" fontId="92" fillId="0" borderId="0" xfId="0" applyFont="1" applyAlignment="1">
      <alignment horizontal="right"/>
    </xf>
    <xf numFmtId="10" fontId="92" fillId="0" borderId="0" xfId="1699" applyNumberFormat="1" applyFont="1"/>
    <xf numFmtId="9" fontId="91" fillId="0" borderId="0" xfId="1699" applyFont="1"/>
    <xf numFmtId="9" fontId="91" fillId="0" borderId="86" xfId="0" applyNumberFormat="1" applyFont="1" applyBorder="1"/>
    <xf numFmtId="0" fontId="78" fillId="0" borderId="92" xfId="0" applyFont="1" applyBorder="1"/>
    <xf numFmtId="0" fontId="130" fillId="0" borderId="30" xfId="0" applyFont="1" applyBorder="1"/>
    <xf numFmtId="0" fontId="78" fillId="0" borderId="30" xfId="0" applyFont="1" applyBorder="1"/>
    <xf numFmtId="0" fontId="92" fillId="0" borderId="93" xfId="0" applyFont="1" applyBorder="1"/>
    <xf numFmtId="0" fontId="131" fillId="0" borderId="0" xfId="0" applyFont="1" applyAlignment="1">
      <alignment horizontal="left" vertical="center"/>
    </xf>
    <xf numFmtId="9" fontId="71" fillId="0" borderId="0" xfId="950" applyFont="1"/>
    <xf numFmtId="9" fontId="83" fillId="0" borderId="0" xfId="950" applyFont="1" applyFill="1"/>
    <xf numFmtId="201" fontId="73" fillId="0" borderId="0" xfId="0" applyNumberFormat="1" applyFont="1" applyAlignment="1">
      <alignment vertical="center"/>
    </xf>
    <xf numFmtId="14" fontId="132" fillId="96" borderId="95" xfId="0" applyNumberFormat="1" applyFont="1" applyFill="1" applyBorder="1" applyAlignment="1">
      <alignment horizontal="center" vertical="center" wrapText="1"/>
    </xf>
    <xf numFmtId="10" fontId="73" fillId="102" borderId="0" xfId="950" applyNumberFormat="1" applyFont="1" applyFill="1"/>
    <xf numFmtId="9" fontId="80" fillId="102" borderId="0" xfId="0" applyNumberFormat="1" applyFont="1" applyFill="1" applyAlignment="1">
      <alignment horizontal="right" vertical="center"/>
    </xf>
    <xf numFmtId="0" fontId="76" fillId="0" borderId="0" xfId="0" applyFont="1"/>
    <xf numFmtId="165" fontId="69" fillId="0" borderId="0" xfId="1700" applyFont="1" applyFill="1" applyAlignment="1">
      <alignment vertical="center"/>
    </xf>
    <xf numFmtId="49" fontId="92" fillId="0" borderId="1" xfId="904" applyNumberFormat="1" applyFont="1" applyBorder="1" applyAlignment="1">
      <alignment horizontal="center" vertical="center"/>
    </xf>
    <xf numFmtId="0" fontId="132" fillId="0" borderId="95" xfId="0" applyFont="1" applyBorder="1"/>
    <xf numFmtId="0" fontId="133" fillId="0" borderId="95" xfId="0" applyFont="1" applyBorder="1"/>
    <xf numFmtId="0" fontId="133" fillId="0" borderId="97" xfId="0" applyFont="1" applyBorder="1"/>
    <xf numFmtId="165" fontId="134" fillId="0" borderId="97" xfId="1704" applyFont="1" applyBorder="1"/>
    <xf numFmtId="0" fontId="133" fillId="0" borderId="96" xfId="0" applyFont="1" applyBorder="1"/>
    <xf numFmtId="165" fontId="134" fillId="0" borderId="96" xfId="1704" applyFont="1" applyBorder="1"/>
    <xf numFmtId="0" fontId="132" fillId="96" borderId="94" xfId="0" applyFont="1" applyFill="1" applyBorder="1"/>
    <xf numFmtId="165" fontId="132" fillId="96" borderId="94" xfId="1704" applyFont="1" applyFill="1" applyBorder="1"/>
    <xf numFmtId="165" fontId="77" fillId="0" borderId="0" xfId="1700" applyFont="1" applyFill="1" applyAlignment="1">
      <alignment horizontal="right" vertical="center"/>
    </xf>
    <xf numFmtId="14" fontId="72" fillId="0" borderId="0" xfId="0" applyNumberFormat="1" applyFont="1" applyAlignment="1">
      <alignment horizontal="right"/>
    </xf>
    <xf numFmtId="0" fontId="71" fillId="102" borderId="63" xfId="0" applyFont="1" applyFill="1" applyBorder="1" applyAlignment="1">
      <alignment horizontal="center" vertical="center"/>
    </xf>
    <xf numFmtId="0" fontId="71" fillId="102" borderId="63" xfId="0" applyFont="1" applyFill="1" applyBorder="1" applyAlignment="1">
      <alignment vertical="center"/>
    </xf>
    <xf numFmtId="203" fontId="92" fillId="0" borderId="1" xfId="904" applyNumberFormat="1" applyFont="1" applyBorder="1" applyAlignment="1">
      <alignment horizontal="left" vertical="center" indent="3"/>
    </xf>
    <xf numFmtId="165" fontId="92" fillId="94" borderId="30" xfId="1700" applyFont="1" applyFill="1" applyBorder="1" applyAlignment="1">
      <alignment horizontal="right"/>
    </xf>
    <xf numFmtId="165" fontId="92" fillId="94" borderId="92" xfId="1700" applyFont="1" applyFill="1" applyBorder="1" applyAlignment="1">
      <alignment horizontal="right"/>
    </xf>
    <xf numFmtId="3" fontId="135" fillId="0" borderId="0" xfId="0" applyNumberFormat="1" applyFont="1"/>
    <xf numFmtId="0" fontId="84" fillId="0" borderId="0" xfId="0" applyFont="1" applyAlignment="1">
      <alignment vertical="center"/>
    </xf>
    <xf numFmtId="201" fontId="73" fillId="0" borderId="0" xfId="0" applyNumberFormat="1" applyFont="1" applyAlignment="1">
      <alignment horizontal="left"/>
    </xf>
    <xf numFmtId="14" fontId="136" fillId="96" borderId="98" xfId="0" applyNumberFormat="1" applyFont="1" applyFill="1" applyBorder="1" applyAlignment="1">
      <alignment horizontal="center" vertical="center"/>
    </xf>
    <xf numFmtId="0" fontId="136" fillId="96" borderId="96" xfId="0" applyFont="1" applyFill="1" applyBorder="1" applyAlignment="1">
      <alignment horizontal="center"/>
    </xf>
    <xf numFmtId="0" fontId="136" fillId="96" borderId="99" xfId="0" applyFont="1" applyFill="1" applyBorder="1" applyAlignment="1">
      <alignment horizontal="center"/>
    </xf>
    <xf numFmtId="165" fontId="134" fillId="0" borderId="97" xfId="1704" applyFont="1" applyFill="1" applyBorder="1"/>
    <xf numFmtId="0" fontId="71" fillId="0" borderId="63" xfId="0" applyFont="1" applyBorder="1" applyAlignment="1">
      <alignment horizontal="center" vertical="center"/>
    </xf>
    <xf numFmtId="14" fontId="91" fillId="73" borderId="100" xfId="904" applyNumberFormat="1" applyFont="1" applyFill="1" applyBorder="1" applyAlignment="1">
      <alignment horizontal="center" vertical="center" wrapText="1"/>
    </xf>
    <xf numFmtId="165" fontId="73" fillId="0" borderId="0" xfId="1700" applyFont="1" applyAlignment="1">
      <alignment vertical="center"/>
    </xf>
    <xf numFmtId="165" fontId="72" fillId="0" borderId="0" xfId="1700" applyFont="1"/>
    <xf numFmtId="3" fontId="77" fillId="0" borderId="85" xfId="0" applyNumberFormat="1" applyFont="1" applyBorder="1" applyAlignment="1">
      <alignment horizontal="right" vertical="center"/>
    </xf>
    <xf numFmtId="3" fontId="77" fillId="0" borderId="0" xfId="0" applyNumberFormat="1" applyFont="1" applyAlignment="1">
      <alignment horizontal="right" vertical="center"/>
    </xf>
    <xf numFmtId="3" fontId="77" fillId="0" borderId="38" xfId="0" applyNumberFormat="1" applyFont="1" applyBorder="1" applyAlignment="1">
      <alignment horizontal="right" vertical="center"/>
    </xf>
    <xf numFmtId="0" fontId="80" fillId="0" borderId="0" xfId="0" applyFont="1" applyAlignment="1">
      <alignment vertical="center"/>
    </xf>
    <xf numFmtId="0" fontId="80" fillId="0" borderId="63" xfId="0" applyFont="1" applyBorder="1" applyAlignment="1">
      <alignment horizontal="center" vertical="center"/>
    </xf>
    <xf numFmtId="0" fontId="80" fillId="0" borderId="85" xfId="0" applyFont="1" applyBorder="1" applyAlignment="1">
      <alignment horizontal="center" vertical="center"/>
    </xf>
    <xf numFmtId="0" fontId="80" fillId="0" borderId="37" xfId="0" applyFont="1" applyBorder="1" applyAlignment="1">
      <alignment horizontal="center" vertical="center"/>
    </xf>
    <xf numFmtId="0" fontId="136" fillId="96" borderId="94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center" vertical="center"/>
    </xf>
    <xf numFmtId="0" fontId="80" fillId="102" borderId="85" xfId="0" applyFont="1" applyFill="1" applyBorder="1" applyAlignment="1">
      <alignment horizontal="center" vertical="center"/>
    </xf>
    <xf numFmtId="0" fontId="80" fillId="102" borderId="37" xfId="0" applyFont="1" applyFill="1" applyBorder="1" applyAlignment="1">
      <alignment horizontal="center" vertical="center"/>
    </xf>
    <xf numFmtId="0" fontId="71" fillId="102" borderId="39" xfId="0" applyFont="1" applyFill="1" applyBorder="1" applyAlignment="1">
      <alignment horizontal="center" vertical="center"/>
    </xf>
    <xf numFmtId="0" fontId="71" fillId="102" borderId="37" xfId="0" applyFont="1" applyFill="1" applyBorder="1" applyAlignment="1">
      <alignment horizontal="center" vertical="center"/>
    </xf>
    <xf numFmtId="0" fontId="84" fillId="0" borderId="0" xfId="0" applyFont="1" applyAlignment="1">
      <alignment horizontal="right" vertical="center"/>
    </xf>
    <xf numFmtId="203" fontId="86" fillId="73" borderId="51" xfId="904" applyNumberFormat="1" applyFont="1" applyFill="1" applyBorder="1" applyAlignment="1">
      <alignment horizontal="left" vertical="center"/>
    </xf>
    <xf numFmtId="203" fontId="86" fillId="73" borderId="53" xfId="904" applyNumberFormat="1" applyFont="1" applyFill="1" applyBorder="1" applyAlignment="1">
      <alignment horizontal="left" vertical="center"/>
    </xf>
    <xf numFmtId="203" fontId="86" fillId="73" borderId="48" xfId="904" applyNumberFormat="1" applyFont="1" applyFill="1" applyBorder="1" applyAlignment="1">
      <alignment horizontal="center" vertical="center"/>
    </xf>
    <xf numFmtId="203" fontId="86" fillId="73" borderId="54" xfId="904" applyNumberFormat="1" applyFont="1" applyFill="1" applyBorder="1" applyAlignment="1">
      <alignment horizontal="center" vertical="center"/>
    </xf>
    <xf numFmtId="165" fontId="88" fillId="100" borderId="83" xfId="904" applyNumberFormat="1" applyFont="1" applyFill="1" applyBorder="1" applyAlignment="1">
      <alignment horizontal="center" vertical="center"/>
    </xf>
    <xf numFmtId="165" fontId="88" fillId="100" borderId="84" xfId="904" applyNumberFormat="1" applyFont="1" applyFill="1" applyBorder="1" applyAlignment="1">
      <alignment horizontal="center" vertical="center"/>
    </xf>
    <xf numFmtId="203" fontId="86" fillId="73" borderId="59" xfId="904" applyNumberFormat="1" applyFont="1" applyFill="1" applyBorder="1" applyAlignment="1">
      <alignment horizontal="left" vertical="center"/>
    </xf>
    <xf numFmtId="203" fontId="86" fillId="73" borderId="60" xfId="904" applyNumberFormat="1" applyFont="1" applyFill="1" applyBorder="1" applyAlignment="1">
      <alignment horizontal="left" vertical="center"/>
    </xf>
    <xf numFmtId="203" fontId="86" fillId="73" borderId="52" xfId="904" applyNumberFormat="1" applyFont="1" applyFill="1" applyBorder="1" applyAlignment="1">
      <alignment horizontal="center" vertical="center"/>
    </xf>
    <xf numFmtId="203" fontId="86" fillId="73" borderId="1" xfId="904" applyNumberFormat="1" applyFont="1" applyFill="1" applyBorder="1" applyAlignment="1">
      <alignment horizontal="center" vertical="center"/>
    </xf>
    <xf numFmtId="3" fontId="88" fillId="100" borderId="79" xfId="904" applyNumberFormat="1" applyFont="1" applyFill="1" applyBorder="1" applyAlignment="1">
      <alignment horizontal="center" vertical="center"/>
    </xf>
    <xf numFmtId="3" fontId="88" fillId="100" borderId="80" xfId="904" applyNumberFormat="1" applyFont="1" applyFill="1" applyBorder="1" applyAlignment="1">
      <alignment horizontal="center" vertical="center"/>
    </xf>
    <xf numFmtId="165" fontId="86" fillId="0" borderId="87" xfId="903" applyNumberFormat="1" applyFont="1" applyBorder="1" applyAlignment="1">
      <alignment horizontal="center"/>
    </xf>
    <xf numFmtId="0" fontId="86" fillId="97" borderId="69" xfId="0" applyFont="1" applyFill="1" applyBorder="1" applyAlignment="1">
      <alignment horizontal="left" vertical="center"/>
    </xf>
    <xf numFmtId="0" fontId="86" fillId="97" borderId="66" xfId="0" applyFont="1" applyFill="1" applyBorder="1" applyAlignment="1">
      <alignment horizontal="left" vertical="center"/>
    </xf>
    <xf numFmtId="0" fontId="86" fillId="97" borderId="67" xfId="0" applyFont="1" applyFill="1" applyBorder="1" applyAlignment="1">
      <alignment horizontal="center" vertical="center"/>
    </xf>
    <xf numFmtId="0" fontId="86" fillId="97" borderId="68" xfId="0" applyFont="1" applyFill="1" applyBorder="1" applyAlignment="1">
      <alignment horizontal="center" vertical="center"/>
    </xf>
    <xf numFmtId="2" fontId="96" fillId="101" borderId="0" xfId="0" applyNumberFormat="1" applyFont="1" applyFill="1"/>
  </cellXfs>
  <cellStyles count="1706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1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700" builtinId="6"/>
    <cellStyle name="Millares [0] 2" xfId="1703" xr:uid="{00000000-0005-0000-0000-00003F030000}"/>
    <cellStyle name="Millares [0] 2 2" xfId="829" xr:uid="{00000000-0005-0000-0000-000040030000}"/>
    <cellStyle name="Millares [0] 3" xfId="1704" xr:uid="{4671356E-2AA0-477F-AF3D-47478A780DB7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2" xr:uid="{00000000-0005-0000-0000-000046030000}"/>
    <cellStyle name="Millares 7" xfId="835" xr:uid="{00000000-0005-0000-0000-000047030000}"/>
    <cellStyle name="Millares_Analisis Razonado diciemb 08" xfId="836" xr:uid="{00000000-0005-0000-0000-000048030000}"/>
    <cellStyle name="Moneda [0] 2 2" xfId="837" xr:uid="{00000000-0005-0000-0000-000049030000}"/>
    <cellStyle name="Moneda 2" xfId="838" xr:uid="{00000000-0005-0000-0000-00004A030000}"/>
    <cellStyle name="Moneda 2 2" xfId="839" xr:uid="{00000000-0005-0000-0000-00004B030000}"/>
    <cellStyle name="Moneda 2 3" xfId="840" xr:uid="{00000000-0005-0000-0000-00004C030000}"/>
    <cellStyle name="Nag?ówek 1" xfId="841" xr:uid="{00000000-0005-0000-0000-00004D030000}"/>
    <cellStyle name="Nag?ówek 2" xfId="842" xr:uid="{00000000-0005-0000-0000-00004E030000}"/>
    <cellStyle name="Nag?ówek 3" xfId="843" xr:uid="{00000000-0005-0000-0000-00004F030000}"/>
    <cellStyle name="Nag?ówek 4" xfId="844" xr:uid="{00000000-0005-0000-0000-000050030000}"/>
    <cellStyle name="Nagłówek 1" xfId="845" xr:uid="{00000000-0005-0000-0000-000051030000}"/>
    <cellStyle name="Nagłówek 2" xfId="846" xr:uid="{00000000-0005-0000-0000-000052030000}"/>
    <cellStyle name="Nagłówek 3" xfId="847" xr:uid="{00000000-0005-0000-0000-000053030000}"/>
    <cellStyle name="Nagłówek 4" xfId="848" xr:uid="{00000000-0005-0000-0000-000054030000}"/>
    <cellStyle name="Neutral" xfId="849" builtinId="28" customBuiltin="1"/>
    <cellStyle name="Neutral 2" xfId="850" xr:uid="{00000000-0005-0000-0000-000056030000}"/>
    <cellStyle name="Neutral 2 2" xfId="851" xr:uid="{00000000-0005-0000-0000-000057030000}"/>
    <cellStyle name="Neutral 2 3" xfId="852" xr:uid="{00000000-0005-0000-0000-000058030000}"/>
    <cellStyle name="Neutral 2 4" xfId="853" xr:uid="{00000000-0005-0000-0000-000059030000}"/>
    <cellStyle name="Neutral 2 5" xfId="854" xr:uid="{00000000-0005-0000-0000-00005A030000}"/>
    <cellStyle name="Neutral 2 6" xfId="855" xr:uid="{00000000-0005-0000-0000-00005B030000}"/>
    <cellStyle name="Neutral 3" xfId="856" xr:uid="{00000000-0005-0000-0000-00005C030000}"/>
    <cellStyle name="Neutral 3 2" xfId="857" xr:uid="{00000000-0005-0000-0000-00005D030000}"/>
    <cellStyle name="Neutral 3 3" xfId="858" xr:uid="{00000000-0005-0000-0000-00005E030000}"/>
    <cellStyle name="Neutral 3 4" xfId="859" xr:uid="{00000000-0005-0000-0000-00005F030000}"/>
    <cellStyle name="Neutral 3 5" xfId="860" xr:uid="{00000000-0005-0000-0000-000060030000}"/>
    <cellStyle name="Neutral 4" xfId="861" xr:uid="{00000000-0005-0000-0000-000061030000}"/>
    <cellStyle name="Neutral 4 2" xfId="862" xr:uid="{00000000-0005-0000-0000-000062030000}"/>
    <cellStyle name="Neutral 4 3" xfId="863" xr:uid="{00000000-0005-0000-0000-000063030000}"/>
    <cellStyle name="Neutral 4 4" xfId="864" xr:uid="{00000000-0005-0000-0000-000064030000}"/>
    <cellStyle name="Neutral 4 5" xfId="865" xr:uid="{00000000-0005-0000-0000-000065030000}"/>
    <cellStyle name="Neutral 5" xfId="866" xr:uid="{00000000-0005-0000-0000-000066030000}"/>
    <cellStyle name="Neutral 5 2" xfId="867" xr:uid="{00000000-0005-0000-0000-000067030000}"/>
    <cellStyle name="Neutral 5 3" xfId="868" xr:uid="{00000000-0005-0000-0000-000068030000}"/>
    <cellStyle name="Neutral 5 4" xfId="869" xr:uid="{00000000-0005-0000-0000-000069030000}"/>
    <cellStyle name="Neutral 5 5" xfId="870" xr:uid="{00000000-0005-0000-0000-00006A030000}"/>
    <cellStyle name="Neutral 6" xfId="871" xr:uid="{00000000-0005-0000-0000-00006B030000}"/>
    <cellStyle name="Neutral 6 2" xfId="872" xr:uid="{00000000-0005-0000-0000-00006C030000}"/>
    <cellStyle name="Neutral 7" xfId="873" xr:uid="{00000000-0005-0000-0000-00006D030000}"/>
    <cellStyle name="Neutral 8" xfId="874" xr:uid="{00000000-0005-0000-0000-00006E030000}"/>
    <cellStyle name="Neutral 9" xfId="875" xr:uid="{00000000-0005-0000-0000-00006F030000}"/>
    <cellStyle name="Neutralne" xfId="876" xr:uid="{00000000-0005-0000-0000-000070030000}"/>
    <cellStyle name="Normal" xfId="0" builtinId="0"/>
    <cellStyle name="Normal 10" xfId="877" xr:uid="{00000000-0005-0000-0000-000072030000}"/>
    <cellStyle name="Normal 10 2" xfId="878" xr:uid="{00000000-0005-0000-0000-000073030000}"/>
    <cellStyle name="Normal 11" xfId="879" xr:uid="{00000000-0005-0000-0000-000074030000}"/>
    <cellStyle name="Normal 11 2" xfId="880" xr:uid="{00000000-0005-0000-0000-000075030000}"/>
    <cellStyle name="Normal 12" xfId="881" xr:uid="{00000000-0005-0000-0000-000076030000}"/>
    <cellStyle name="Normal 12 2" xfId="882" xr:uid="{00000000-0005-0000-0000-000077030000}"/>
    <cellStyle name="Normal 13" xfId="883" xr:uid="{00000000-0005-0000-0000-000078030000}"/>
    <cellStyle name="Normal 13 2" xfId="884" xr:uid="{00000000-0005-0000-0000-000079030000}"/>
    <cellStyle name="Normal 14" xfId="885" xr:uid="{00000000-0005-0000-0000-00007A030000}"/>
    <cellStyle name="Normal 15" xfId="886" xr:uid="{00000000-0005-0000-0000-00007B030000}"/>
    <cellStyle name="Normal 15 2" xfId="887" xr:uid="{00000000-0005-0000-0000-00007C030000}"/>
    <cellStyle name="Normal 16" xfId="1698" xr:uid="{00000000-0005-0000-0000-00007D030000}"/>
    <cellStyle name="Normal 17" xfId="888" xr:uid="{00000000-0005-0000-0000-00007E030000}"/>
    <cellStyle name="Normal 18" xfId="1697" xr:uid="{00000000-0005-0000-0000-00007F030000}"/>
    <cellStyle name="Normal 19" xfId="1705" xr:uid="{151AAFA5-4F8C-423E-885A-426303722CFC}"/>
    <cellStyle name="Normal 2" xfId="889" xr:uid="{00000000-0005-0000-0000-000080030000}"/>
    <cellStyle name="Normal 2 10" xfId="890" xr:uid="{00000000-0005-0000-0000-000081030000}"/>
    <cellStyle name="Normal 2 11" xfId="891" xr:uid="{00000000-0005-0000-0000-000082030000}"/>
    <cellStyle name="Normal 2 12" xfId="892" xr:uid="{00000000-0005-0000-0000-000083030000}"/>
    <cellStyle name="Normal 2 13" xfId="1701" xr:uid="{00000000-0005-0000-0000-000084030000}"/>
    <cellStyle name="Normal 2 2" xfId="893" xr:uid="{00000000-0005-0000-0000-000085030000}"/>
    <cellStyle name="Normal 2 2 2" xfId="894" xr:uid="{00000000-0005-0000-0000-000086030000}"/>
    <cellStyle name="Normal 2 3" xfId="895" xr:uid="{00000000-0005-0000-0000-000087030000}"/>
    <cellStyle name="Normal 2 4" xfId="896" xr:uid="{00000000-0005-0000-0000-000088030000}"/>
    <cellStyle name="Normal 2 5" xfId="897" xr:uid="{00000000-0005-0000-0000-000089030000}"/>
    <cellStyle name="Normal 2 6" xfId="898" xr:uid="{00000000-0005-0000-0000-00008A030000}"/>
    <cellStyle name="Normal 2 7" xfId="899" xr:uid="{00000000-0005-0000-0000-00008B030000}"/>
    <cellStyle name="Normal 2 8" xfId="900" xr:uid="{00000000-0005-0000-0000-00008C030000}"/>
    <cellStyle name="Normal 2 9" xfId="901" xr:uid="{00000000-0005-0000-0000-00008D030000}"/>
    <cellStyle name="Normal 2_Combinación de negocios - AA-IAMv3" xfId="902" xr:uid="{00000000-0005-0000-0000-00008E030000}"/>
    <cellStyle name="Normal 3" xfId="903" xr:uid="{00000000-0005-0000-0000-00008F030000}"/>
    <cellStyle name="Normal 3 2" xfId="904" xr:uid="{00000000-0005-0000-0000-000090030000}"/>
    <cellStyle name="Normal 4" xfId="905" xr:uid="{00000000-0005-0000-0000-000091030000}"/>
    <cellStyle name="Normal 5" xfId="906" xr:uid="{00000000-0005-0000-0000-000092030000}"/>
    <cellStyle name="Normal 6" xfId="907" xr:uid="{00000000-0005-0000-0000-000093030000}"/>
    <cellStyle name="Normal 6 2" xfId="908" xr:uid="{00000000-0005-0000-0000-000094030000}"/>
    <cellStyle name="Normal 7" xfId="909" xr:uid="{00000000-0005-0000-0000-000095030000}"/>
    <cellStyle name="Normal 8" xfId="910" xr:uid="{00000000-0005-0000-0000-000096030000}"/>
    <cellStyle name="Normal 9" xfId="911" xr:uid="{00000000-0005-0000-0000-000097030000}"/>
    <cellStyle name="Notas" xfId="912" builtinId="10" customBuiltin="1"/>
    <cellStyle name="Notas 10" xfId="913" xr:uid="{00000000-0005-0000-0000-000099030000}"/>
    <cellStyle name="Notas 2" xfId="914" xr:uid="{00000000-0005-0000-0000-00009A030000}"/>
    <cellStyle name="Notas 2 2" xfId="915" xr:uid="{00000000-0005-0000-0000-00009B030000}"/>
    <cellStyle name="Notas 2 3" xfId="916" xr:uid="{00000000-0005-0000-0000-00009C030000}"/>
    <cellStyle name="Notas 2 4" xfId="917" xr:uid="{00000000-0005-0000-0000-00009D030000}"/>
    <cellStyle name="Notas 2 5" xfId="918" xr:uid="{00000000-0005-0000-0000-00009E030000}"/>
    <cellStyle name="Notas 2 6" xfId="919" xr:uid="{00000000-0005-0000-0000-00009F030000}"/>
    <cellStyle name="Notas 3" xfId="920" xr:uid="{00000000-0005-0000-0000-0000A0030000}"/>
    <cellStyle name="Notas 3 2" xfId="921" xr:uid="{00000000-0005-0000-0000-0000A1030000}"/>
    <cellStyle name="Notas 3 3" xfId="922" xr:uid="{00000000-0005-0000-0000-0000A2030000}"/>
    <cellStyle name="Notas 3 4" xfId="923" xr:uid="{00000000-0005-0000-0000-0000A3030000}"/>
    <cellStyle name="Notas 3 5" xfId="924" xr:uid="{00000000-0005-0000-0000-0000A4030000}"/>
    <cellStyle name="Notas 4" xfId="925" xr:uid="{00000000-0005-0000-0000-0000A5030000}"/>
    <cellStyle name="Notas 4 2" xfId="926" xr:uid="{00000000-0005-0000-0000-0000A6030000}"/>
    <cellStyle name="Notas 4 3" xfId="927" xr:uid="{00000000-0005-0000-0000-0000A7030000}"/>
    <cellStyle name="Notas 4 4" xfId="928" xr:uid="{00000000-0005-0000-0000-0000A8030000}"/>
    <cellStyle name="Notas 4 5" xfId="929" xr:uid="{00000000-0005-0000-0000-0000A9030000}"/>
    <cellStyle name="Notas 5" xfId="930" xr:uid="{00000000-0005-0000-0000-0000AA030000}"/>
    <cellStyle name="Notas 5 2" xfId="931" xr:uid="{00000000-0005-0000-0000-0000AB030000}"/>
    <cellStyle name="Notas 5 3" xfId="932" xr:uid="{00000000-0005-0000-0000-0000AC030000}"/>
    <cellStyle name="Notas 5 4" xfId="933" xr:uid="{00000000-0005-0000-0000-0000AD030000}"/>
    <cellStyle name="Notas 5 5" xfId="934" xr:uid="{00000000-0005-0000-0000-0000AE030000}"/>
    <cellStyle name="Notas 6" xfId="935" xr:uid="{00000000-0005-0000-0000-0000AF030000}"/>
    <cellStyle name="Notas 6 2" xfId="936" xr:uid="{00000000-0005-0000-0000-0000B0030000}"/>
    <cellStyle name="Notas 7" xfId="937" xr:uid="{00000000-0005-0000-0000-0000B1030000}"/>
    <cellStyle name="Notas 8" xfId="938" xr:uid="{00000000-0005-0000-0000-0000B2030000}"/>
    <cellStyle name="Notas 9" xfId="939" xr:uid="{00000000-0005-0000-0000-0000B3030000}"/>
    <cellStyle name="Note" xfId="940" xr:uid="{00000000-0005-0000-0000-0000B4030000}"/>
    <cellStyle name="Note 2" xfId="941" xr:uid="{00000000-0005-0000-0000-0000B5030000}"/>
    <cellStyle name="Note 3" xfId="942" xr:uid="{00000000-0005-0000-0000-0000B6030000}"/>
    <cellStyle name="Note 4" xfId="943" xr:uid="{00000000-0005-0000-0000-0000B7030000}"/>
    <cellStyle name="Note 5" xfId="944" xr:uid="{00000000-0005-0000-0000-0000B8030000}"/>
    <cellStyle name="Note 6" xfId="945" xr:uid="{00000000-0005-0000-0000-0000B9030000}"/>
    <cellStyle name="Note 7" xfId="946" xr:uid="{00000000-0005-0000-0000-0000BA030000}"/>
    <cellStyle name="Note 8" xfId="947" xr:uid="{00000000-0005-0000-0000-0000BB030000}"/>
    <cellStyle name="Obliczenia" xfId="948" xr:uid="{00000000-0005-0000-0000-0000BC030000}"/>
    <cellStyle name="Output" xfId="949" xr:uid="{00000000-0005-0000-0000-0000BD030000}"/>
    <cellStyle name="Porcentaje" xfId="950" builtinId="5"/>
    <cellStyle name="Porcentaje 2" xfId="1699" xr:uid="{00000000-0005-0000-0000-0000BF030000}"/>
    <cellStyle name="Porcentual 10" xfId="951" xr:uid="{00000000-0005-0000-0000-0000C0030000}"/>
    <cellStyle name="Porcentual 10 2" xfId="952" xr:uid="{00000000-0005-0000-0000-0000C1030000}"/>
    <cellStyle name="Porcentual 11" xfId="953" xr:uid="{00000000-0005-0000-0000-0000C2030000}"/>
    <cellStyle name="Porcentual 11 2" xfId="954" xr:uid="{00000000-0005-0000-0000-0000C3030000}"/>
    <cellStyle name="Porcentual 2" xfId="955" xr:uid="{00000000-0005-0000-0000-0000C4030000}"/>
    <cellStyle name="Porcentual 2 2" xfId="956" xr:uid="{00000000-0005-0000-0000-0000C5030000}"/>
    <cellStyle name="Porcentual 3" xfId="957" xr:uid="{00000000-0005-0000-0000-0000C6030000}"/>
    <cellStyle name="Porcentual 4" xfId="958" xr:uid="{00000000-0005-0000-0000-0000C7030000}"/>
    <cellStyle name="Porcentual 4 2" xfId="959" xr:uid="{00000000-0005-0000-0000-0000C8030000}"/>
    <cellStyle name="Porcentual 5" xfId="960" xr:uid="{00000000-0005-0000-0000-0000C9030000}"/>
    <cellStyle name="Porcentual 5 2" xfId="961" xr:uid="{00000000-0005-0000-0000-0000CA030000}"/>
    <cellStyle name="Porcentual 6" xfId="962" xr:uid="{00000000-0005-0000-0000-0000CB030000}"/>
    <cellStyle name="Porcentual 7" xfId="963" xr:uid="{00000000-0005-0000-0000-0000CC030000}"/>
    <cellStyle name="Porcentual 7 2" xfId="964" xr:uid="{00000000-0005-0000-0000-0000CD030000}"/>
    <cellStyle name="Porcentual 8" xfId="965" xr:uid="{00000000-0005-0000-0000-0000CE030000}"/>
    <cellStyle name="Porcentual 8 2" xfId="966" xr:uid="{00000000-0005-0000-0000-0000CF030000}"/>
    <cellStyle name="Porcentual 9" xfId="967" xr:uid="{00000000-0005-0000-0000-0000D0030000}"/>
    <cellStyle name="Salida" xfId="968" builtinId="21" customBuiltin="1"/>
    <cellStyle name="Salida 2" xfId="969" xr:uid="{00000000-0005-0000-0000-0000D2030000}"/>
    <cellStyle name="Salida 2 2" xfId="970" xr:uid="{00000000-0005-0000-0000-0000D3030000}"/>
    <cellStyle name="Salida 2 3" xfId="971" xr:uid="{00000000-0005-0000-0000-0000D4030000}"/>
    <cellStyle name="Salida 2 4" xfId="972" xr:uid="{00000000-0005-0000-0000-0000D5030000}"/>
    <cellStyle name="Salida 2 5" xfId="973" xr:uid="{00000000-0005-0000-0000-0000D6030000}"/>
    <cellStyle name="Salida 2 6" xfId="974" xr:uid="{00000000-0005-0000-0000-0000D7030000}"/>
    <cellStyle name="Salida 3" xfId="975" xr:uid="{00000000-0005-0000-0000-0000D8030000}"/>
    <cellStyle name="Salida 3 2" xfId="976" xr:uid="{00000000-0005-0000-0000-0000D9030000}"/>
    <cellStyle name="Salida 3 3" xfId="977" xr:uid="{00000000-0005-0000-0000-0000DA030000}"/>
    <cellStyle name="Salida 3 4" xfId="978" xr:uid="{00000000-0005-0000-0000-0000DB030000}"/>
    <cellStyle name="Salida 3 5" xfId="979" xr:uid="{00000000-0005-0000-0000-0000DC030000}"/>
    <cellStyle name="Salida 4" xfId="980" xr:uid="{00000000-0005-0000-0000-0000DD030000}"/>
    <cellStyle name="Salida 4 2" xfId="981" xr:uid="{00000000-0005-0000-0000-0000DE030000}"/>
    <cellStyle name="Salida 4 3" xfId="982" xr:uid="{00000000-0005-0000-0000-0000DF030000}"/>
    <cellStyle name="Salida 4 4" xfId="983" xr:uid="{00000000-0005-0000-0000-0000E0030000}"/>
    <cellStyle name="Salida 4 5" xfId="984" xr:uid="{00000000-0005-0000-0000-0000E1030000}"/>
    <cellStyle name="Salida 5" xfId="985" xr:uid="{00000000-0005-0000-0000-0000E2030000}"/>
    <cellStyle name="Salida 5 2" xfId="986" xr:uid="{00000000-0005-0000-0000-0000E3030000}"/>
    <cellStyle name="Salida 5 3" xfId="987" xr:uid="{00000000-0005-0000-0000-0000E4030000}"/>
    <cellStyle name="Salida 5 4" xfId="988" xr:uid="{00000000-0005-0000-0000-0000E5030000}"/>
    <cellStyle name="Salida 5 5" xfId="989" xr:uid="{00000000-0005-0000-0000-0000E6030000}"/>
    <cellStyle name="Salida 6" xfId="990" xr:uid="{00000000-0005-0000-0000-0000E7030000}"/>
    <cellStyle name="Salida 6 2" xfId="991" xr:uid="{00000000-0005-0000-0000-0000E8030000}"/>
    <cellStyle name="Salida 7" xfId="992" xr:uid="{00000000-0005-0000-0000-0000E9030000}"/>
    <cellStyle name="Salida 8" xfId="993" xr:uid="{00000000-0005-0000-0000-0000EA030000}"/>
    <cellStyle name="Salida 9" xfId="994" xr:uid="{00000000-0005-0000-0000-0000EB030000}"/>
    <cellStyle name="SAPBEXaggData" xfId="995" xr:uid="{00000000-0005-0000-0000-0000EC030000}"/>
    <cellStyle name="SAPBEXaggData 10" xfId="996" xr:uid="{00000000-0005-0000-0000-0000ED030000}"/>
    <cellStyle name="SAPBEXaggData 11" xfId="997" xr:uid="{00000000-0005-0000-0000-0000EE030000}"/>
    <cellStyle name="SAPBEXaggData 2" xfId="998" xr:uid="{00000000-0005-0000-0000-0000EF030000}"/>
    <cellStyle name="SAPBEXaggData 2 2" xfId="999" xr:uid="{00000000-0005-0000-0000-0000F0030000}"/>
    <cellStyle name="SAPBEXaggData 2 2 2" xfId="1000" xr:uid="{00000000-0005-0000-0000-0000F1030000}"/>
    <cellStyle name="SAPBEXaggData 3" xfId="1001" xr:uid="{00000000-0005-0000-0000-0000F2030000}"/>
    <cellStyle name="SAPBEXaggData 4" xfId="1002" xr:uid="{00000000-0005-0000-0000-0000F3030000}"/>
    <cellStyle name="SAPBEXaggData 5" xfId="1003" xr:uid="{00000000-0005-0000-0000-0000F4030000}"/>
    <cellStyle name="SAPBEXaggData 6" xfId="1004" xr:uid="{00000000-0005-0000-0000-0000F5030000}"/>
    <cellStyle name="SAPBEXaggData 7" xfId="1005" xr:uid="{00000000-0005-0000-0000-0000F6030000}"/>
    <cellStyle name="SAPBEXaggData 8" xfId="1006" xr:uid="{00000000-0005-0000-0000-0000F7030000}"/>
    <cellStyle name="SAPBEXaggData 9" xfId="1007" xr:uid="{00000000-0005-0000-0000-0000F8030000}"/>
    <cellStyle name="SAPBEXaggData_gxaccion, 68" xfId="1008" xr:uid="{00000000-0005-0000-0000-0000F9030000}"/>
    <cellStyle name="SAPBEXaggDataEmph" xfId="1009" xr:uid="{00000000-0005-0000-0000-0000FA030000}"/>
    <cellStyle name="SAPBEXaggDataEmph 10" xfId="1010" xr:uid="{00000000-0005-0000-0000-0000FB030000}"/>
    <cellStyle name="SAPBEXaggDataEmph 11" xfId="1011" xr:uid="{00000000-0005-0000-0000-0000FC030000}"/>
    <cellStyle name="SAPBEXaggDataEmph 2" xfId="1012" xr:uid="{00000000-0005-0000-0000-0000FD030000}"/>
    <cellStyle name="SAPBEXaggDataEmph 2 2" xfId="1013" xr:uid="{00000000-0005-0000-0000-0000FE030000}"/>
    <cellStyle name="SAPBEXaggDataEmph 2 2 2" xfId="1014" xr:uid="{00000000-0005-0000-0000-0000FF030000}"/>
    <cellStyle name="SAPBEXaggDataEmph 3" xfId="1015" xr:uid="{00000000-0005-0000-0000-000000040000}"/>
    <cellStyle name="SAPBEXaggDataEmph 4" xfId="1016" xr:uid="{00000000-0005-0000-0000-000001040000}"/>
    <cellStyle name="SAPBEXaggDataEmph 5" xfId="1017" xr:uid="{00000000-0005-0000-0000-000002040000}"/>
    <cellStyle name="SAPBEXaggDataEmph 6" xfId="1018" xr:uid="{00000000-0005-0000-0000-000003040000}"/>
    <cellStyle name="SAPBEXaggDataEmph 7" xfId="1019" xr:uid="{00000000-0005-0000-0000-000004040000}"/>
    <cellStyle name="SAPBEXaggDataEmph 8" xfId="1020" xr:uid="{00000000-0005-0000-0000-000005040000}"/>
    <cellStyle name="SAPBEXaggDataEmph 9" xfId="1021" xr:uid="{00000000-0005-0000-0000-000006040000}"/>
    <cellStyle name="SAPBEXaggDataEmph_valor justo.junio2010" xfId="1022" xr:uid="{00000000-0005-0000-0000-000007040000}"/>
    <cellStyle name="SAPBEXaggItem" xfId="1023" xr:uid="{00000000-0005-0000-0000-000008040000}"/>
    <cellStyle name="SAPBEXaggItem 10" xfId="1024" xr:uid="{00000000-0005-0000-0000-000009040000}"/>
    <cellStyle name="SAPBEXaggItem 11" xfId="1025" xr:uid="{00000000-0005-0000-0000-00000A040000}"/>
    <cellStyle name="SAPBEXaggItem 2" xfId="1026" xr:uid="{00000000-0005-0000-0000-00000B040000}"/>
    <cellStyle name="SAPBEXaggItem 2 2" xfId="1027" xr:uid="{00000000-0005-0000-0000-00000C040000}"/>
    <cellStyle name="SAPBEXaggItem 2 2 2" xfId="1028" xr:uid="{00000000-0005-0000-0000-00000D040000}"/>
    <cellStyle name="SAPBEXaggItem 3" xfId="1029" xr:uid="{00000000-0005-0000-0000-00000E040000}"/>
    <cellStyle name="SAPBEXaggItem 4" xfId="1030" xr:uid="{00000000-0005-0000-0000-00000F040000}"/>
    <cellStyle name="SAPBEXaggItem 5" xfId="1031" xr:uid="{00000000-0005-0000-0000-000010040000}"/>
    <cellStyle name="SAPBEXaggItem 6" xfId="1032" xr:uid="{00000000-0005-0000-0000-000011040000}"/>
    <cellStyle name="SAPBEXaggItem 7" xfId="1033" xr:uid="{00000000-0005-0000-0000-000012040000}"/>
    <cellStyle name="SAPBEXaggItem 8" xfId="1034" xr:uid="{00000000-0005-0000-0000-000013040000}"/>
    <cellStyle name="SAPBEXaggItem 9" xfId="1035" xr:uid="{00000000-0005-0000-0000-000014040000}"/>
    <cellStyle name="SAPBEXaggItem_gxaccion, 68" xfId="1036" xr:uid="{00000000-0005-0000-0000-000015040000}"/>
    <cellStyle name="SAPBEXaggItemX" xfId="1037" xr:uid="{00000000-0005-0000-0000-000016040000}"/>
    <cellStyle name="SAPBEXaggItemX 10" xfId="1038" xr:uid="{00000000-0005-0000-0000-000017040000}"/>
    <cellStyle name="SAPBEXaggItemX 11" xfId="1039" xr:uid="{00000000-0005-0000-0000-000018040000}"/>
    <cellStyle name="SAPBEXaggItemX 2" xfId="1040" xr:uid="{00000000-0005-0000-0000-000019040000}"/>
    <cellStyle name="SAPBEXaggItemX 2 2" xfId="1041" xr:uid="{00000000-0005-0000-0000-00001A040000}"/>
    <cellStyle name="SAPBEXaggItemX 2 2 2" xfId="1042" xr:uid="{00000000-0005-0000-0000-00001B040000}"/>
    <cellStyle name="SAPBEXaggItemX 3" xfId="1043" xr:uid="{00000000-0005-0000-0000-00001C040000}"/>
    <cellStyle name="SAPBEXaggItemX 4" xfId="1044" xr:uid="{00000000-0005-0000-0000-00001D040000}"/>
    <cellStyle name="SAPBEXaggItemX 5" xfId="1045" xr:uid="{00000000-0005-0000-0000-00001E040000}"/>
    <cellStyle name="SAPBEXaggItemX 6" xfId="1046" xr:uid="{00000000-0005-0000-0000-00001F040000}"/>
    <cellStyle name="SAPBEXaggItemX 7" xfId="1047" xr:uid="{00000000-0005-0000-0000-000020040000}"/>
    <cellStyle name="SAPBEXaggItemX 8" xfId="1048" xr:uid="{00000000-0005-0000-0000-000021040000}"/>
    <cellStyle name="SAPBEXaggItemX 9" xfId="1049" xr:uid="{00000000-0005-0000-0000-000022040000}"/>
    <cellStyle name="SAPBEXaggItemX_valor justo.junio2010" xfId="1050" xr:uid="{00000000-0005-0000-0000-000023040000}"/>
    <cellStyle name="SAPBEXchaText" xfId="1051" xr:uid="{00000000-0005-0000-0000-000024040000}"/>
    <cellStyle name="SAPBEXchaText 10" xfId="1052" xr:uid="{00000000-0005-0000-0000-000025040000}"/>
    <cellStyle name="SAPBEXchaText 11" xfId="1053" xr:uid="{00000000-0005-0000-0000-000026040000}"/>
    <cellStyle name="SAPBEXchaText 2" xfId="1054" xr:uid="{00000000-0005-0000-0000-000027040000}"/>
    <cellStyle name="SAPBEXchaText 2 2" xfId="1055" xr:uid="{00000000-0005-0000-0000-000028040000}"/>
    <cellStyle name="SAPBEXchaText 2 2 2" xfId="1056" xr:uid="{00000000-0005-0000-0000-000029040000}"/>
    <cellStyle name="SAPBEXchaText 3" xfId="1057" xr:uid="{00000000-0005-0000-0000-00002A040000}"/>
    <cellStyle name="SAPBEXchaText 4" xfId="1058" xr:uid="{00000000-0005-0000-0000-00002B040000}"/>
    <cellStyle name="SAPBEXchaText 5" xfId="1059" xr:uid="{00000000-0005-0000-0000-00002C040000}"/>
    <cellStyle name="SAPBEXchaText 6" xfId="1060" xr:uid="{00000000-0005-0000-0000-00002D040000}"/>
    <cellStyle name="SAPBEXchaText 7" xfId="1061" xr:uid="{00000000-0005-0000-0000-00002E040000}"/>
    <cellStyle name="SAPBEXchaText 8" xfId="1062" xr:uid="{00000000-0005-0000-0000-00002F040000}"/>
    <cellStyle name="SAPBEXchaText 9" xfId="1063" xr:uid="{00000000-0005-0000-0000-000030040000}"/>
    <cellStyle name="SAPBEXchaText_gxaccion, 68" xfId="1064" xr:uid="{00000000-0005-0000-0000-000031040000}"/>
    <cellStyle name="SAPBEXexcBad7" xfId="1065" xr:uid="{00000000-0005-0000-0000-000032040000}"/>
    <cellStyle name="SAPBEXexcBad7 10" xfId="1066" xr:uid="{00000000-0005-0000-0000-000033040000}"/>
    <cellStyle name="SAPBEXexcBad7 11" xfId="1067" xr:uid="{00000000-0005-0000-0000-000034040000}"/>
    <cellStyle name="SAPBEXexcBad7 2" xfId="1068" xr:uid="{00000000-0005-0000-0000-000035040000}"/>
    <cellStyle name="SAPBEXexcBad7 2 2" xfId="1069" xr:uid="{00000000-0005-0000-0000-000036040000}"/>
    <cellStyle name="SAPBEXexcBad7 2 2 2" xfId="1070" xr:uid="{00000000-0005-0000-0000-000037040000}"/>
    <cellStyle name="SAPBEXexcBad7 3" xfId="1071" xr:uid="{00000000-0005-0000-0000-000038040000}"/>
    <cellStyle name="SAPBEXexcBad7 4" xfId="1072" xr:uid="{00000000-0005-0000-0000-000039040000}"/>
    <cellStyle name="SAPBEXexcBad7 5" xfId="1073" xr:uid="{00000000-0005-0000-0000-00003A040000}"/>
    <cellStyle name="SAPBEXexcBad7 6" xfId="1074" xr:uid="{00000000-0005-0000-0000-00003B040000}"/>
    <cellStyle name="SAPBEXexcBad7 7" xfId="1075" xr:uid="{00000000-0005-0000-0000-00003C040000}"/>
    <cellStyle name="SAPBEXexcBad7 8" xfId="1076" xr:uid="{00000000-0005-0000-0000-00003D040000}"/>
    <cellStyle name="SAPBEXexcBad7 9" xfId="1077" xr:uid="{00000000-0005-0000-0000-00003E040000}"/>
    <cellStyle name="SAPBEXexcBad7_gxaccion, 68" xfId="1078" xr:uid="{00000000-0005-0000-0000-00003F040000}"/>
    <cellStyle name="SAPBEXexcBad8" xfId="1079" xr:uid="{00000000-0005-0000-0000-000040040000}"/>
    <cellStyle name="SAPBEXexcBad8 10" xfId="1080" xr:uid="{00000000-0005-0000-0000-000041040000}"/>
    <cellStyle name="SAPBEXexcBad8 11" xfId="1081" xr:uid="{00000000-0005-0000-0000-000042040000}"/>
    <cellStyle name="SAPBEXexcBad8 2" xfId="1082" xr:uid="{00000000-0005-0000-0000-000043040000}"/>
    <cellStyle name="SAPBEXexcBad8 2 2" xfId="1083" xr:uid="{00000000-0005-0000-0000-000044040000}"/>
    <cellStyle name="SAPBEXexcBad8 2 2 2" xfId="1084" xr:uid="{00000000-0005-0000-0000-000045040000}"/>
    <cellStyle name="SAPBEXexcBad8 3" xfId="1085" xr:uid="{00000000-0005-0000-0000-000046040000}"/>
    <cellStyle name="SAPBEXexcBad8 4" xfId="1086" xr:uid="{00000000-0005-0000-0000-000047040000}"/>
    <cellStyle name="SAPBEXexcBad8 5" xfId="1087" xr:uid="{00000000-0005-0000-0000-000048040000}"/>
    <cellStyle name="SAPBEXexcBad8 6" xfId="1088" xr:uid="{00000000-0005-0000-0000-000049040000}"/>
    <cellStyle name="SAPBEXexcBad8 7" xfId="1089" xr:uid="{00000000-0005-0000-0000-00004A040000}"/>
    <cellStyle name="SAPBEXexcBad8 8" xfId="1090" xr:uid="{00000000-0005-0000-0000-00004B040000}"/>
    <cellStyle name="SAPBEXexcBad8 9" xfId="1091" xr:uid="{00000000-0005-0000-0000-00004C040000}"/>
    <cellStyle name="SAPBEXexcBad8_gxaccion, 68" xfId="1092" xr:uid="{00000000-0005-0000-0000-00004D040000}"/>
    <cellStyle name="SAPBEXexcBad9" xfId="1093" xr:uid="{00000000-0005-0000-0000-00004E040000}"/>
    <cellStyle name="SAPBEXexcBad9 10" xfId="1094" xr:uid="{00000000-0005-0000-0000-00004F040000}"/>
    <cellStyle name="SAPBEXexcBad9 11" xfId="1095" xr:uid="{00000000-0005-0000-0000-000050040000}"/>
    <cellStyle name="SAPBEXexcBad9 2" xfId="1096" xr:uid="{00000000-0005-0000-0000-000051040000}"/>
    <cellStyle name="SAPBEXexcBad9 2 2" xfId="1097" xr:uid="{00000000-0005-0000-0000-000052040000}"/>
    <cellStyle name="SAPBEXexcBad9 2 2 2" xfId="1098" xr:uid="{00000000-0005-0000-0000-000053040000}"/>
    <cellStyle name="SAPBEXexcBad9 3" xfId="1099" xr:uid="{00000000-0005-0000-0000-000054040000}"/>
    <cellStyle name="SAPBEXexcBad9 4" xfId="1100" xr:uid="{00000000-0005-0000-0000-000055040000}"/>
    <cellStyle name="SAPBEXexcBad9 5" xfId="1101" xr:uid="{00000000-0005-0000-0000-000056040000}"/>
    <cellStyle name="SAPBEXexcBad9 6" xfId="1102" xr:uid="{00000000-0005-0000-0000-000057040000}"/>
    <cellStyle name="SAPBEXexcBad9 7" xfId="1103" xr:uid="{00000000-0005-0000-0000-000058040000}"/>
    <cellStyle name="SAPBEXexcBad9 8" xfId="1104" xr:uid="{00000000-0005-0000-0000-000059040000}"/>
    <cellStyle name="SAPBEXexcBad9 9" xfId="1105" xr:uid="{00000000-0005-0000-0000-00005A040000}"/>
    <cellStyle name="SAPBEXexcBad9_gxaccion, 68" xfId="1106" xr:uid="{00000000-0005-0000-0000-00005B040000}"/>
    <cellStyle name="SAPBEXexcCritical4" xfId="1107" xr:uid="{00000000-0005-0000-0000-00005C040000}"/>
    <cellStyle name="SAPBEXexcCritical4 10" xfId="1108" xr:uid="{00000000-0005-0000-0000-00005D040000}"/>
    <cellStyle name="SAPBEXexcCritical4 11" xfId="1109" xr:uid="{00000000-0005-0000-0000-00005E040000}"/>
    <cellStyle name="SAPBEXexcCritical4 2" xfId="1110" xr:uid="{00000000-0005-0000-0000-00005F040000}"/>
    <cellStyle name="SAPBEXexcCritical4 2 2" xfId="1111" xr:uid="{00000000-0005-0000-0000-000060040000}"/>
    <cellStyle name="SAPBEXexcCritical4 2 2 2" xfId="1112" xr:uid="{00000000-0005-0000-0000-000061040000}"/>
    <cellStyle name="SAPBEXexcCritical4 3" xfId="1113" xr:uid="{00000000-0005-0000-0000-000062040000}"/>
    <cellStyle name="SAPBEXexcCritical4 4" xfId="1114" xr:uid="{00000000-0005-0000-0000-000063040000}"/>
    <cellStyle name="SAPBEXexcCritical4 5" xfId="1115" xr:uid="{00000000-0005-0000-0000-000064040000}"/>
    <cellStyle name="SAPBEXexcCritical4 6" xfId="1116" xr:uid="{00000000-0005-0000-0000-000065040000}"/>
    <cellStyle name="SAPBEXexcCritical4 7" xfId="1117" xr:uid="{00000000-0005-0000-0000-000066040000}"/>
    <cellStyle name="SAPBEXexcCritical4 8" xfId="1118" xr:uid="{00000000-0005-0000-0000-000067040000}"/>
    <cellStyle name="SAPBEXexcCritical4 9" xfId="1119" xr:uid="{00000000-0005-0000-0000-000068040000}"/>
    <cellStyle name="SAPBEXexcCritical4_gxaccion, 68" xfId="1120" xr:uid="{00000000-0005-0000-0000-000069040000}"/>
    <cellStyle name="SAPBEXexcCritical5" xfId="1121" xr:uid="{00000000-0005-0000-0000-00006A040000}"/>
    <cellStyle name="SAPBEXexcCritical5 10" xfId="1122" xr:uid="{00000000-0005-0000-0000-00006B040000}"/>
    <cellStyle name="SAPBEXexcCritical5 11" xfId="1123" xr:uid="{00000000-0005-0000-0000-00006C040000}"/>
    <cellStyle name="SAPBEXexcCritical5 2" xfId="1124" xr:uid="{00000000-0005-0000-0000-00006D040000}"/>
    <cellStyle name="SAPBEXexcCritical5 2 2" xfId="1125" xr:uid="{00000000-0005-0000-0000-00006E040000}"/>
    <cellStyle name="SAPBEXexcCritical5 2 2 2" xfId="1126" xr:uid="{00000000-0005-0000-0000-00006F040000}"/>
    <cellStyle name="SAPBEXexcCritical5 3" xfId="1127" xr:uid="{00000000-0005-0000-0000-000070040000}"/>
    <cellStyle name="SAPBEXexcCritical5 4" xfId="1128" xr:uid="{00000000-0005-0000-0000-000071040000}"/>
    <cellStyle name="SAPBEXexcCritical5 5" xfId="1129" xr:uid="{00000000-0005-0000-0000-000072040000}"/>
    <cellStyle name="SAPBEXexcCritical5 6" xfId="1130" xr:uid="{00000000-0005-0000-0000-000073040000}"/>
    <cellStyle name="SAPBEXexcCritical5 7" xfId="1131" xr:uid="{00000000-0005-0000-0000-000074040000}"/>
    <cellStyle name="SAPBEXexcCritical5 8" xfId="1132" xr:uid="{00000000-0005-0000-0000-000075040000}"/>
    <cellStyle name="SAPBEXexcCritical5 9" xfId="1133" xr:uid="{00000000-0005-0000-0000-000076040000}"/>
    <cellStyle name="SAPBEXexcCritical5_gxaccion, 68" xfId="1134" xr:uid="{00000000-0005-0000-0000-000077040000}"/>
    <cellStyle name="SAPBEXexcCritical6" xfId="1135" xr:uid="{00000000-0005-0000-0000-000078040000}"/>
    <cellStyle name="SAPBEXexcCritical6 10" xfId="1136" xr:uid="{00000000-0005-0000-0000-000079040000}"/>
    <cellStyle name="SAPBEXexcCritical6 11" xfId="1137" xr:uid="{00000000-0005-0000-0000-00007A040000}"/>
    <cellStyle name="SAPBEXexcCritical6 2" xfId="1138" xr:uid="{00000000-0005-0000-0000-00007B040000}"/>
    <cellStyle name="SAPBEXexcCritical6 2 2" xfId="1139" xr:uid="{00000000-0005-0000-0000-00007C040000}"/>
    <cellStyle name="SAPBEXexcCritical6 2 2 2" xfId="1140" xr:uid="{00000000-0005-0000-0000-00007D040000}"/>
    <cellStyle name="SAPBEXexcCritical6 3" xfId="1141" xr:uid="{00000000-0005-0000-0000-00007E040000}"/>
    <cellStyle name="SAPBEXexcCritical6 4" xfId="1142" xr:uid="{00000000-0005-0000-0000-00007F040000}"/>
    <cellStyle name="SAPBEXexcCritical6 5" xfId="1143" xr:uid="{00000000-0005-0000-0000-000080040000}"/>
    <cellStyle name="SAPBEXexcCritical6 6" xfId="1144" xr:uid="{00000000-0005-0000-0000-000081040000}"/>
    <cellStyle name="SAPBEXexcCritical6 7" xfId="1145" xr:uid="{00000000-0005-0000-0000-000082040000}"/>
    <cellStyle name="SAPBEXexcCritical6 8" xfId="1146" xr:uid="{00000000-0005-0000-0000-000083040000}"/>
    <cellStyle name="SAPBEXexcCritical6 9" xfId="1147" xr:uid="{00000000-0005-0000-0000-000084040000}"/>
    <cellStyle name="SAPBEXexcCritical6_gxaccion, 68" xfId="1148" xr:uid="{00000000-0005-0000-0000-000085040000}"/>
    <cellStyle name="SAPBEXexcGood1" xfId="1149" xr:uid="{00000000-0005-0000-0000-000086040000}"/>
    <cellStyle name="SAPBEXexcGood1 10" xfId="1150" xr:uid="{00000000-0005-0000-0000-000087040000}"/>
    <cellStyle name="SAPBEXexcGood1 11" xfId="1151" xr:uid="{00000000-0005-0000-0000-000088040000}"/>
    <cellStyle name="SAPBEXexcGood1 2" xfId="1152" xr:uid="{00000000-0005-0000-0000-000089040000}"/>
    <cellStyle name="SAPBEXexcGood1 2 2" xfId="1153" xr:uid="{00000000-0005-0000-0000-00008A040000}"/>
    <cellStyle name="SAPBEXexcGood1 2 2 2" xfId="1154" xr:uid="{00000000-0005-0000-0000-00008B040000}"/>
    <cellStyle name="SAPBEXexcGood1 3" xfId="1155" xr:uid="{00000000-0005-0000-0000-00008C040000}"/>
    <cellStyle name="SAPBEXexcGood1 4" xfId="1156" xr:uid="{00000000-0005-0000-0000-00008D040000}"/>
    <cellStyle name="SAPBEXexcGood1 5" xfId="1157" xr:uid="{00000000-0005-0000-0000-00008E040000}"/>
    <cellStyle name="SAPBEXexcGood1 6" xfId="1158" xr:uid="{00000000-0005-0000-0000-00008F040000}"/>
    <cellStyle name="SAPBEXexcGood1 7" xfId="1159" xr:uid="{00000000-0005-0000-0000-000090040000}"/>
    <cellStyle name="SAPBEXexcGood1 8" xfId="1160" xr:uid="{00000000-0005-0000-0000-000091040000}"/>
    <cellStyle name="SAPBEXexcGood1 9" xfId="1161" xr:uid="{00000000-0005-0000-0000-000092040000}"/>
    <cellStyle name="SAPBEXexcGood1_gxaccion, 68" xfId="1162" xr:uid="{00000000-0005-0000-0000-000093040000}"/>
    <cellStyle name="SAPBEXexcGood2" xfId="1163" xr:uid="{00000000-0005-0000-0000-000094040000}"/>
    <cellStyle name="SAPBEXexcGood2 10" xfId="1164" xr:uid="{00000000-0005-0000-0000-000095040000}"/>
    <cellStyle name="SAPBEXexcGood2 11" xfId="1165" xr:uid="{00000000-0005-0000-0000-000096040000}"/>
    <cellStyle name="SAPBEXexcGood2 2" xfId="1166" xr:uid="{00000000-0005-0000-0000-000097040000}"/>
    <cellStyle name="SAPBEXexcGood2 2 2" xfId="1167" xr:uid="{00000000-0005-0000-0000-000098040000}"/>
    <cellStyle name="SAPBEXexcGood2 2 2 2" xfId="1168" xr:uid="{00000000-0005-0000-0000-000099040000}"/>
    <cellStyle name="SAPBEXexcGood2 3" xfId="1169" xr:uid="{00000000-0005-0000-0000-00009A040000}"/>
    <cellStyle name="SAPBEXexcGood2 4" xfId="1170" xr:uid="{00000000-0005-0000-0000-00009B040000}"/>
    <cellStyle name="SAPBEXexcGood2 5" xfId="1171" xr:uid="{00000000-0005-0000-0000-00009C040000}"/>
    <cellStyle name="SAPBEXexcGood2 6" xfId="1172" xr:uid="{00000000-0005-0000-0000-00009D040000}"/>
    <cellStyle name="SAPBEXexcGood2 7" xfId="1173" xr:uid="{00000000-0005-0000-0000-00009E040000}"/>
    <cellStyle name="SAPBEXexcGood2 8" xfId="1174" xr:uid="{00000000-0005-0000-0000-00009F040000}"/>
    <cellStyle name="SAPBEXexcGood2 9" xfId="1175" xr:uid="{00000000-0005-0000-0000-0000A0040000}"/>
    <cellStyle name="SAPBEXexcGood2_gxaccion, 68" xfId="1176" xr:uid="{00000000-0005-0000-0000-0000A1040000}"/>
    <cellStyle name="SAPBEXexcGood3" xfId="1177" xr:uid="{00000000-0005-0000-0000-0000A2040000}"/>
    <cellStyle name="SAPBEXexcGood3 10" xfId="1178" xr:uid="{00000000-0005-0000-0000-0000A3040000}"/>
    <cellStyle name="SAPBEXexcGood3 11" xfId="1179" xr:uid="{00000000-0005-0000-0000-0000A4040000}"/>
    <cellStyle name="SAPBEXexcGood3 2" xfId="1180" xr:uid="{00000000-0005-0000-0000-0000A5040000}"/>
    <cellStyle name="SAPBEXexcGood3 2 2" xfId="1181" xr:uid="{00000000-0005-0000-0000-0000A6040000}"/>
    <cellStyle name="SAPBEXexcGood3 2 2 2" xfId="1182" xr:uid="{00000000-0005-0000-0000-0000A7040000}"/>
    <cellStyle name="SAPBEXexcGood3 3" xfId="1183" xr:uid="{00000000-0005-0000-0000-0000A8040000}"/>
    <cellStyle name="SAPBEXexcGood3 4" xfId="1184" xr:uid="{00000000-0005-0000-0000-0000A9040000}"/>
    <cellStyle name="SAPBEXexcGood3 5" xfId="1185" xr:uid="{00000000-0005-0000-0000-0000AA040000}"/>
    <cellStyle name="SAPBEXexcGood3 6" xfId="1186" xr:uid="{00000000-0005-0000-0000-0000AB040000}"/>
    <cellStyle name="SAPBEXexcGood3 7" xfId="1187" xr:uid="{00000000-0005-0000-0000-0000AC040000}"/>
    <cellStyle name="SAPBEXexcGood3 8" xfId="1188" xr:uid="{00000000-0005-0000-0000-0000AD040000}"/>
    <cellStyle name="SAPBEXexcGood3 9" xfId="1189" xr:uid="{00000000-0005-0000-0000-0000AE040000}"/>
    <cellStyle name="SAPBEXexcGood3_gxaccion, 68" xfId="1190" xr:uid="{00000000-0005-0000-0000-0000AF040000}"/>
    <cellStyle name="SAPBEXfilterDrill" xfId="1191" xr:uid="{00000000-0005-0000-0000-0000B0040000}"/>
    <cellStyle name="SAPBEXfilterDrill 10" xfId="1192" xr:uid="{00000000-0005-0000-0000-0000B1040000}"/>
    <cellStyle name="SAPBEXfilterDrill 11" xfId="1193" xr:uid="{00000000-0005-0000-0000-0000B2040000}"/>
    <cellStyle name="SAPBEXfilterDrill 2" xfId="1194" xr:uid="{00000000-0005-0000-0000-0000B3040000}"/>
    <cellStyle name="SAPBEXfilterDrill 2 2" xfId="1195" xr:uid="{00000000-0005-0000-0000-0000B4040000}"/>
    <cellStyle name="SAPBEXfilterDrill 2 2 2" xfId="1196" xr:uid="{00000000-0005-0000-0000-0000B5040000}"/>
    <cellStyle name="SAPBEXfilterDrill 3" xfId="1197" xr:uid="{00000000-0005-0000-0000-0000B6040000}"/>
    <cellStyle name="SAPBEXfilterDrill 4" xfId="1198" xr:uid="{00000000-0005-0000-0000-0000B7040000}"/>
    <cellStyle name="SAPBEXfilterDrill 5" xfId="1199" xr:uid="{00000000-0005-0000-0000-0000B8040000}"/>
    <cellStyle name="SAPBEXfilterDrill 6" xfId="1200" xr:uid="{00000000-0005-0000-0000-0000B9040000}"/>
    <cellStyle name="SAPBEXfilterDrill 7" xfId="1201" xr:uid="{00000000-0005-0000-0000-0000BA040000}"/>
    <cellStyle name="SAPBEXfilterDrill 8" xfId="1202" xr:uid="{00000000-0005-0000-0000-0000BB040000}"/>
    <cellStyle name="SAPBEXfilterDrill 9" xfId="1203" xr:uid="{00000000-0005-0000-0000-0000BC040000}"/>
    <cellStyle name="SAPBEXfilterDrill_gxaccion, 68" xfId="1204" xr:uid="{00000000-0005-0000-0000-0000BD040000}"/>
    <cellStyle name="SAPBEXfilterItem" xfId="1205" xr:uid="{00000000-0005-0000-0000-0000BE040000}"/>
    <cellStyle name="SAPBEXfilterItem 10" xfId="1206" xr:uid="{00000000-0005-0000-0000-0000BF040000}"/>
    <cellStyle name="SAPBEXfilterItem 11" xfId="1207" xr:uid="{00000000-0005-0000-0000-0000C0040000}"/>
    <cellStyle name="SAPBEXfilterItem 2" xfId="1208" xr:uid="{00000000-0005-0000-0000-0000C1040000}"/>
    <cellStyle name="SAPBEXfilterItem 2 2" xfId="1209" xr:uid="{00000000-0005-0000-0000-0000C2040000}"/>
    <cellStyle name="SAPBEXfilterItem 2 2 2" xfId="1210" xr:uid="{00000000-0005-0000-0000-0000C3040000}"/>
    <cellStyle name="SAPBEXfilterItem 3" xfId="1211" xr:uid="{00000000-0005-0000-0000-0000C4040000}"/>
    <cellStyle name="SAPBEXfilterItem 4" xfId="1212" xr:uid="{00000000-0005-0000-0000-0000C5040000}"/>
    <cellStyle name="SAPBEXfilterItem 5" xfId="1213" xr:uid="{00000000-0005-0000-0000-0000C6040000}"/>
    <cellStyle name="SAPBEXfilterItem 6" xfId="1214" xr:uid="{00000000-0005-0000-0000-0000C7040000}"/>
    <cellStyle name="SAPBEXfilterItem 7" xfId="1215" xr:uid="{00000000-0005-0000-0000-0000C8040000}"/>
    <cellStyle name="SAPBEXfilterItem 8" xfId="1216" xr:uid="{00000000-0005-0000-0000-0000C9040000}"/>
    <cellStyle name="SAPBEXfilterItem 9" xfId="1217" xr:uid="{00000000-0005-0000-0000-0000CA040000}"/>
    <cellStyle name="SAPBEXfilterText" xfId="1218" xr:uid="{00000000-0005-0000-0000-0000CB040000}"/>
    <cellStyle name="SAPBEXfilterText 10" xfId="1219" xr:uid="{00000000-0005-0000-0000-0000CC040000}"/>
    <cellStyle name="SAPBEXfilterText 11" xfId="1220" xr:uid="{00000000-0005-0000-0000-0000CD040000}"/>
    <cellStyle name="SAPBEXfilterText 2" xfId="1221" xr:uid="{00000000-0005-0000-0000-0000CE040000}"/>
    <cellStyle name="SAPBEXfilterText 2 2" xfId="1222" xr:uid="{00000000-0005-0000-0000-0000CF040000}"/>
    <cellStyle name="SAPBEXfilterText 2 2 2" xfId="1223" xr:uid="{00000000-0005-0000-0000-0000D0040000}"/>
    <cellStyle name="SAPBEXfilterText 3" xfId="1224" xr:uid="{00000000-0005-0000-0000-0000D1040000}"/>
    <cellStyle name="SAPBEXfilterText 4" xfId="1225" xr:uid="{00000000-0005-0000-0000-0000D2040000}"/>
    <cellStyle name="SAPBEXfilterText 5" xfId="1226" xr:uid="{00000000-0005-0000-0000-0000D3040000}"/>
    <cellStyle name="SAPBEXfilterText 6" xfId="1227" xr:uid="{00000000-0005-0000-0000-0000D4040000}"/>
    <cellStyle name="SAPBEXfilterText 7" xfId="1228" xr:uid="{00000000-0005-0000-0000-0000D5040000}"/>
    <cellStyle name="SAPBEXfilterText 8" xfId="1229" xr:uid="{00000000-0005-0000-0000-0000D6040000}"/>
    <cellStyle name="SAPBEXfilterText 9" xfId="1230" xr:uid="{00000000-0005-0000-0000-0000D7040000}"/>
    <cellStyle name="SAPBEXformats" xfId="1231" xr:uid="{00000000-0005-0000-0000-0000D8040000}"/>
    <cellStyle name="SAPBEXformats 10" xfId="1232" xr:uid="{00000000-0005-0000-0000-0000D9040000}"/>
    <cellStyle name="SAPBEXformats 11" xfId="1233" xr:uid="{00000000-0005-0000-0000-0000DA040000}"/>
    <cellStyle name="SAPBEXformats 2" xfId="1234" xr:uid="{00000000-0005-0000-0000-0000DB040000}"/>
    <cellStyle name="SAPBEXformats 2 2" xfId="1235" xr:uid="{00000000-0005-0000-0000-0000DC040000}"/>
    <cellStyle name="SAPBEXformats 2 2 2" xfId="1236" xr:uid="{00000000-0005-0000-0000-0000DD040000}"/>
    <cellStyle name="SAPBEXformats 3" xfId="1237" xr:uid="{00000000-0005-0000-0000-0000DE040000}"/>
    <cellStyle name="SAPBEXformats 4" xfId="1238" xr:uid="{00000000-0005-0000-0000-0000DF040000}"/>
    <cellStyle name="SAPBEXformats 5" xfId="1239" xr:uid="{00000000-0005-0000-0000-0000E0040000}"/>
    <cellStyle name="SAPBEXformats 6" xfId="1240" xr:uid="{00000000-0005-0000-0000-0000E1040000}"/>
    <cellStyle name="SAPBEXformats 7" xfId="1241" xr:uid="{00000000-0005-0000-0000-0000E2040000}"/>
    <cellStyle name="SAPBEXformats 8" xfId="1242" xr:uid="{00000000-0005-0000-0000-0000E3040000}"/>
    <cellStyle name="SAPBEXformats 9" xfId="1243" xr:uid="{00000000-0005-0000-0000-0000E4040000}"/>
    <cellStyle name="SAPBEXformats_gxaccion, 68" xfId="1244" xr:uid="{00000000-0005-0000-0000-0000E5040000}"/>
    <cellStyle name="SAPBEXheaderItem" xfId="1245" xr:uid="{00000000-0005-0000-0000-0000E6040000}"/>
    <cellStyle name="SAPBEXheaderItem 10" xfId="1246" xr:uid="{00000000-0005-0000-0000-0000E7040000}"/>
    <cellStyle name="SAPBEXheaderItem 11" xfId="1247" xr:uid="{00000000-0005-0000-0000-0000E8040000}"/>
    <cellStyle name="SAPBEXheaderItem 2" xfId="1248" xr:uid="{00000000-0005-0000-0000-0000E9040000}"/>
    <cellStyle name="SAPBEXheaderItem 2 2" xfId="1249" xr:uid="{00000000-0005-0000-0000-0000EA040000}"/>
    <cellStyle name="SAPBEXheaderItem 2 2 2" xfId="1250" xr:uid="{00000000-0005-0000-0000-0000EB040000}"/>
    <cellStyle name="SAPBEXheaderItem 3" xfId="1251" xr:uid="{00000000-0005-0000-0000-0000EC040000}"/>
    <cellStyle name="SAPBEXheaderItem 4" xfId="1252" xr:uid="{00000000-0005-0000-0000-0000ED040000}"/>
    <cellStyle name="SAPBEXheaderItem 5" xfId="1253" xr:uid="{00000000-0005-0000-0000-0000EE040000}"/>
    <cellStyle name="SAPBEXheaderItem 6" xfId="1254" xr:uid="{00000000-0005-0000-0000-0000EF040000}"/>
    <cellStyle name="SAPBEXheaderItem 7" xfId="1255" xr:uid="{00000000-0005-0000-0000-0000F0040000}"/>
    <cellStyle name="SAPBEXheaderItem 8" xfId="1256" xr:uid="{00000000-0005-0000-0000-0000F1040000}"/>
    <cellStyle name="SAPBEXheaderItem 9" xfId="1257" xr:uid="{00000000-0005-0000-0000-0000F2040000}"/>
    <cellStyle name="SAPBEXheaderItem_gxaccion, 68" xfId="1258" xr:uid="{00000000-0005-0000-0000-0000F3040000}"/>
    <cellStyle name="SAPBEXheaderText" xfId="1259" xr:uid="{00000000-0005-0000-0000-0000F4040000}"/>
    <cellStyle name="SAPBEXheaderText 10" xfId="1260" xr:uid="{00000000-0005-0000-0000-0000F5040000}"/>
    <cellStyle name="SAPBEXheaderText 11" xfId="1261" xr:uid="{00000000-0005-0000-0000-0000F6040000}"/>
    <cellStyle name="SAPBEXheaderText 2" xfId="1262" xr:uid="{00000000-0005-0000-0000-0000F7040000}"/>
    <cellStyle name="SAPBEXheaderText 2 2" xfId="1263" xr:uid="{00000000-0005-0000-0000-0000F8040000}"/>
    <cellStyle name="SAPBEXheaderText 2 2 2" xfId="1264" xr:uid="{00000000-0005-0000-0000-0000F9040000}"/>
    <cellStyle name="SAPBEXheaderText 3" xfId="1265" xr:uid="{00000000-0005-0000-0000-0000FA040000}"/>
    <cellStyle name="SAPBEXheaderText 4" xfId="1266" xr:uid="{00000000-0005-0000-0000-0000FB040000}"/>
    <cellStyle name="SAPBEXheaderText 5" xfId="1267" xr:uid="{00000000-0005-0000-0000-0000FC040000}"/>
    <cellStyle name="SAPBEXheaderText 6" xfId="1268" xr:uid="{00000000-0005-0000-0000-0000FD040000}"/>
    <cellStyle name="SAPBEXheaderText 7" xfId="1269" xr:uid="{00000000-0005-0000-0000-0000FE040000}"/>
    <cellStyle name="SAPBEXheaderText 8" xfId="1270" xr:uid="{00000000-0005-0000-0000-0000FF040000}"/>
    <cellStyle name="SAPBEXheaderText 9" xfId="1271" xr:uid="{00000000-0005-0000-0000-000000050000}"/>
    <cellStyle name="SAPBEXheaderText_gxaccion, 68" xfId="1272" xr:uid="{00000000-0005-0000-0000-000001050000}"/>
    <cellStyle name="SAPBEXHLevel0" xfId="1273" xr:uid="{00000000-0005-0000-0000-000002050000}"/>
    <cellStyle name="SAPBEXHLevel0 10" xfId="1274" xr:uid="{00000000-0005-0000-0000-000003050000}"/>
    <cellStyle name="SAPBEXHLevel0 11" xfId="1275" xr:uid="{00000000-0005-0000-0000-000004050000}"/>
    <cellStyle name="SAPBEXHLevel0 2" xfId="1276" xr:uid="{00000000-0005-0000-0000-000005050000}"/>
    <cellStyle name="SAPBEXHLevel0 2 2" xfId="1277" xr:uid="{00000000-0005-0000-0000-000006050000}"/>
    <cellStyle name="SAPBEXHLevel0 2 2 2" xfId="1278" xr:uid="{00000000-0005-0000-0000-000007050000}"/>
    <cellStyle name="SAPBEXHLevel0 3" xfId="1279" xr:uid="{00000000-0005-0000-0000-000008050000}"/>
    <cellStyle name="SAPBEXHLevel0 4" xfId="1280" xr:uid="{00000000-0005-0000-0000-000009050000}"/>
    <cellStyle name="SAPBEXHLevel0 5" xfId="1281" xr:uid="{00000000-0005-0000-0000-00000A050000}"/>
    <cellStyle name="SAPBEXHLevel0 6" xfId="1282" xr:uid="{00000000-0005-0000-0000-00000B050000}"/>
    <cellStyle name="SAPBEXHLevel0 7" xfId="1283" xr:uid="{00000000-0005-0000-0000-00000C050000}"/>
    <cellStyle name="SAPBEXHLevel0 8" xfId="1284" xr:uid="{00000000-0005-0000-0000-00000D050000}"/>
    <cellStyle name="SAPBEXHLevel0 9" xfId="1285" xr:uid="{00000000-0005-0000-0000-00000E050000}"/>
    <cellStyle name="SAPBEXHLevel0_gxaccion, 68" xfId="1286" xr:uid="{00000000-0005-0000-0000-00000F050000}"/>
    <cellStyle name="SAPBEXHLevel0X" xfId="1287" xr:uid="{00000000-0005-0000-0000-000010050000}"/>
    <cellStyle name="SAPBEXHLevel0X 10" xfId="1288" xr:uid="{00000000-0005-0000-0000-000011050000}"/>
    <cellStyle name="SAPBEXHLevel0X 11" xfId="1289" xr:uid="{00000000-0005-0000-0000-000012050000}"/>
    <cellStyle name="SAPBEXHLevel0X 2" xfId="1290" xr:uid="{00000000-0005-0000-0000-000013050000}"/>
    <cellStyle name="SAPBEXHLevel0X 2 2" xfId="1291" xr:uid="{00000000-0005-0000-0000-000014050000}"/>
    <cellStyle name="SAPBEXHLevel0X 2 2 2" xfId="1292" xr:uid="{00000000-0005-0000-0000-000015050000}"/>
    <cellStyle name="SAPBEXHLevel0X 3" xfId="1293" xr:uid="{00000000-0005-0000-0000-000016050000}"/>
    <cellStyle name="SAPBEXHLevel0X 4" xfId="1294" xr:uid="{00000000-0005-0000-0000-000017050000}"/>
    <cellStyle name="SAPBEXHLevel0X 5" xfId="1295" xr:uid="{00000000-0005-0000-0000-000018050000}"/>
    <cellStyle name="SAPBEXHLevel0X 6" xfId="1296" xr:uid="{00000000-0005-0000-0000-000019050000}"/>
    <cellStyle name="SAPBEXHLevel0X 7" xfId="1297" xr:uid="{00000000-0005-0000-0000-00001A050000}"/>
    <cellStyle name="SAPBEXHLevel0X 8" xfId="1298" xr:uid="{00000000-0005-0000-0000-00001B050000}"/>
    <cellStyle name="SAPBEXHLevel0X 9" xfId="1299" xr:uid="{00000000-0005-0000-0000-00001C050000}"/>
    <cellStyle name="SAPBEXHLevel0X_gxaccion, 68" xfId="1300" xr:uid="{00000000-0005-0000-0000-00001D050000}"/>
    <cellStyle name="SAPBEXHLevel1" xfId="1301" xr:uid="{00000000-0005-0000-0000-00001E050000}"/>
    <cellStyle name="SAPBEXHLevel1 10" xfId="1302" xr:uid="{00000000-0005-0000-0000-00001F050000}"/>
    <cellStyle name="SAPBEXHLevel1 11" xfId="1303" xr:uid="{00000000-0005-0000-0000-000020050000}"/>
    <cellStyle name="SAPBEXHLevel1 2" xfId="1304" xr:uid="{00000000-0005-0000-0000-000021050000}"/>
    <cellStyle name="SAPBEXHLevel1 2 2" xfId="1305" xr:uid="{00000000-0005-0000-0000-000022050000}"/>
    <cellStyle name="SAPBEXHLevel1 2 2 2" xfId="1306" xr:uid="{00000000-0005-0000-0000-000023050000}"/>
    <cellStyle name="SAPBEXHLevel1 3" xfId="1307" xr:uid="{00000000-0005-0000-0000-000024050000}"/>
    <cellStyle name="SAPBEXHLevel1 4" xfId="1308" xr:uid="{00000000-0005-0000-0000-000025050000}"/>
    <cellStyle name="SAPBEXHLevel1 5" xfId="1309" xr:uid="{00000000-0005-0000-0000-000026050000}"/>
    <cellStyle name="SAPBEXHLevel1 6" xfId="1310" xr:uid="{00000000-0005-0000-0000-000027050000}"/>
    <cellStyle name="SAPBEXHLevel1 7" xfId="1311" xr:uid="{00000000-0005-0000-0000-000028050000}"/>
    <cellStyle name="SAPBEXHLevel1 8" xfId="1312" xr:uid="{00000000-0005-0000-0000-000029050000}"/>
    <cellStyle name="SAPBEXHLevel1 9" xfId="1313" xr:uid="{00000000-0005-0000-0000-00002A050000}"/>
    <cellStyle name="SAPBEXHLevel1_gxaccion, 68" xfId="1314" xr:uid="{00000000-0005-0000-0000-00002B050000}"/>
    <cellStyle name="SAPBEXHLevel1X" xfId="1315" xr:uid="{00000000-0005-0000-0000-00002C050000}"/>
    <cellStyle name="SAPBEXHLevel1X 10" xfId="1316" xr:uid="{00000000-0005-0000-0000-00002D050000}"/>
    <cellStyle name="SAPBEXHLevel1X 11" xfId="1317" xr:uid="{00000000-0005-0000-0000-00002E050000}"/>
    <cellStyle name="SAPBEXHLevel1X 2" xfId="1318" xr:uid="{00000000-0005-0000-0000-00002F050000}"/>
    <cellStyle name="SAPBEXHLevel1X 2 2" xfId="1319" xr:uid="{00000000-0005-0000-0000-000030050000}"/>
    <cellStyle name="SAPBEXHLevel1X 2 2 2" xfId="1320" xr:uid="{00000000-0005-0000-0000-000031050000}"/>
    <cellStyle name="SAPBEXHLevel1X 3" xfId="1321" xr:uid="{00000000-0005-0000-0000-000032050000}"/>
    <cellStyle name="SAPBEXHLevel1X 4" xfId="1322" xr:uid="{00000000-0005-0000-0000-000033050000}"/>
    <cellStyle name="SAPBEXHLevel1X 5" xfId="1323" xr:uid="{00000000-0005-0000-0000-000034050000}"/>
    <cellStyle name="SAPBEXHLevel1X 6" xfId="1324" xr:uid="{00000000-0005-0000-0000-000035050000}"/>
    <cellStyle name="SAPBEXHLevel1X 7" xfId="1325" xr:uid="{00000000-0005-0000-0000-000036050000}"/>
    <cellStyle name="SAPBEXHLevel1X 8" xfId="1326" xr:uid="{00000000-0005-0000-0000-000037050000}"/>
    <cellStyle name="SAPBEXHLevel1X 9" xfId="1327" xr:uid="{00000000-0005-0000-0000-000038050000}"/>
    <cellStyle name="SAPBEXHLevel1X_gxaccion, 68" xfId="1328" xr:uid="{00000000-0005-0000-0000-000039050000}"/>
    <cellStyle name="SAPBEXHLevel2" xfId="1329" xr:uid="{00000000-0005-0000-0000-00003A050000}"/>
    <cellStyle name="SAPBEXHLevel2 10" xfId="1330" xr:uid="{00000000-0005-0000-0000-00003B050000}"/>
    <cellStyle name="SAPBEXHLevel2 11" xfId="1331" xr:uid="{00000000-0005-0000-0000-00003C050000}"/>
    <cellStyle name="SAPBEXHLevel2 2" xfId="1332" xr:uid="{00000000-0005-0000-0000-00003D050000}"/>
    <cellStyle name="SAPBEXHLevel2 2 2" xfId="1333" xr:uid="{00000000-0005-0000-0000-00003E050000}"/>
    <cellStyle name="SAPBEXHLevel2 2 2 2" xfId="1334" xr:uid="{00000000-0005-0000-0000-00003F050000}"/>
    <cellStyle name="SAPBEXHLevel2 3" xfId="1335" xr:uid="{00000000-0005-0000-0000-000040050000}"/>
    <cellStyle name="SAPBEXHLevel2 4" xfId="1336" xr:uid="{00000000-0005-0000-0000-000041050000}"/>
    <cellStyle name="SAPBEXHLevel2 5" xfId="1337" xr:uid="{00000000-0005-0000-0000-000042050000}"/>
    <cellStyle name="SAPBEXHLevel2 6" xfId="1338" xr:uid="{00000000-0005-0000-0000-000043050000}"/>
    <cellStyle name="SAPBEXHLevel2 7" xfId="1339" xr:uid="{00000000-0005-0000-0000-000044050000}"/>
    <cellStyle name="SAPBEXHLevel2 8" xfId="1340" xr:uid="{00000000-0005-0000-0000-000045050000}"/>
    <cellStyle name="SAPBEXHLevel2 9" xfId="1341" xr:uid="{00000000-0005-0000-0000-000046050000}"/>
    <cellStyle name="SAPBEXHLevel2_gxaccion, 68" xfId="1342" xr:uid="{00000000-0005-0000-0000-000047050000}"/>
    <cellStyle name="SAPBEXHLevel2X" xfId="1343" xr:uid="{00000000-0005-0000-0000-000048050000}"/>
    <cellStyle name="SAPBEXHLevel2X 10" xfId="1344" xr:uid="{00000000-0005-0000-0000-000049050000}"/>
    <cellStyle name="SAPBEXHLevel2X 11" xfId="1345" xr:uid="{00000000-0005-0000-0000-00004A050000}"/>
    <cellStyle name="SAPBEXHLevel2X 2" xfId="1346" xr:uid="{00000000-0005-0000-0000-00004B050000}"/>
    <cellStyle name="SAPBEXHLevel2X 2 2" xfId="1347" xr:uid="{00000000-0005-0000-0000-00004C050000}"/>
    <cellStyle name="SAPBEXHLevel2X 2 2 2" xfId="1348" xr:uid="{00000000-0005-0000-0000-00004D050000}"/>
    <cellStyle name="SAPBEXHLevel2X 3" xfId="1349" xr:uid="{00000000-0005-0000-0000-00004E050000}"/>
    <cellStyle name="SAPBEXHLevel2X 4" xfId="1350" xr:uid="{00000000-0005-0000-0000-00004F050000}"/>
    <cellStyle name="SAPBEXHLevel2X 5" xfId="1351" xr:uid="{00000000-0005-0000-0000-000050050000}"/>
    <cellStyle name="SAPBEXHLevel2X 6" xfId="1352" xr:uid="{00000000-0005-0000-0000-000051050000}"/>
    <cellStyle name="SAPBEXHLevel2X 7" xfId="1353" xr:uid="{00000000-0005-0000-0000-000052050000}"/>
    <cellStyle name="SAPBEXHLevel2X 8" xfId="1354" xr:uid="{00000000-0005-0000-0000-000053050000}"/>
    <cellStyle name="SAPBEXHLevel2X 9" xfId="1355" xr:uid="{00000000-0005-0000-0000-000054050000}"/>
    <cellStyle name="SAPBEXHLevel2X_gxaccion, 68" xfId="1356" xr:uid="{00000000-0005-0000-0000-000055050000}"/>
    <cellStyle name="SAPBEXHLevel3" xfId="1357" xr:uid="{00000000-0005-0000-0000-000056050000}"/>
    <cellStyle name="SAPBEXHLevel3 10" xfId="1358" xr:uid="{00000000-0005-0000-0000-000057050000}"/>
    <cellStyle name="SAPBEXHLevel3 11" xfId="1359" xr:uid="{00000000-0005-0000-0000-000058050000}"/>
    <cellStyle name="SAPBEXHLevel3 2" xfId="1360" xr:uid="{00000000-0005-0000-0000-000059050000}"/>
    <cellStyle name="SAPBEXHLevel3 2 2" xfId="1361" xr:uid="{00000000-0005-0000-0000-00005A050000}"/>
    <cellStyle name="SAPBEXHLevel3 2 2 2" xfId="1362" xr:uid="{00000000-0005-0000-0000-00005B050000}"/>
    <cellStyle name="SAPBEXHLevel3 3" xfId="1363" xr:uid="{00000000-0005-0000-0000-00005C050000}"/>
    <cellStyle name="SAPBEXHLevel3 4" xfId="1364" xr:uid="{00000000-0005-0000-0000-00005D050000}"/>
    <cellStyle name="SAPBEXHLevel3 5" xfId="1365" xr:uid="{00000000-0005-0000-0000-00005E050000}"/>
    <cellStyle name="SAPBEXHLevel3 6" xfId="1366" xr:uid="{00000000-0005-0000-0000-00005F050000}"/>
    <cellStyle name="SAPBEXHLevel3 7" xfId="1367" xr:uid="{00000000-0005-0000-0000-000060050000}"/>
    <cellStyle name="SAPBEXHLevel3 8" xfId="1368" xr:uid="{00000000-0005-0000-0000-000061050000}"/>
    <cellStyle name="SAPBEXHLevel3 9" xfId="1369" xr:uid="{00000000-0005-0000-0000-000062050000}"/>
    <cellStyle name="SAPBEXHLevel3_gxaccion, 68" xfId="1370" xr:uid="{00000000-0005-0000-0000-000063050000}"/>
    <cellStyle name="SAPBEXHLevel3X" xfId="1371" xr:uid="{00000000-0005-0000-0000-000064050000}"/>
    <cellStyle name="SAPBEXHLevel3X 10" xfId="1372" xr:uid="{00000000-0005-0000-0000-000065050000}"/>
    <cellStyle name="SAPBEXHLevel3X 11" xfId="1373" xr:uid="{00000000-0005-0000-0000-000066050000}"/>
    <cellStyle name="SAPBEXHLevel3X 2" xfId="1374" xr:uid="{00000000-0005-0000-0000-000067050000}"/>
    <cellStyle name="SAPBEXHLevel3X 2 2" xfId="1375" xr:uid="{00000000-0005-0000-0000-000068050000}"/>
    <cellStyle name="SAPBEXHLevel3X 2 2 2" xfId="1376" xr:uid="{00000000-0005-0000-0000-000069050000}"/>
    <cellStyle name="SAPBEXHLevel3X 3" xfId="1377" xr:uid="{00000000-0005-0000-0000-00006A050000}"/>
    <cellStyle name="SAPBEXHLevel3X 4" xfId="1378" xr:uid="{00000000-0005-0000-0000-00006B050000}"/>
    <cellStyle name="SAPBEXHLevel3X 5" xfId="1379" xr:uid="{00000000-0005-0000-0000-00006C050000}"/>
    <cellStyle name="SAPBEXHLevel3X 6" xfId="1380" xr:uid="{00000000-0005-0000-0000-00006D050000}"/>
    <cellStyle name="SAPBEXHLevel3X 7" xfId="1381" xr:uid="{00000000-0005-0000-0000-00006E050000}"/>
    <cellStyle name="SAPBEXHLevel3X 8" xfId="1382" xr:uid="{00000000-0005-0000-0000-00006F050000}"/>
    <cellStyle name="SAPBEXHLevel3X 9" xfId="1383" xr:uid="{00000000-0005-0000-0000-000070050000}"/>
    <cellStyle name="SAPBEXHLevel3X_gxaccion, 68" xfId="1384" xr:uid="{00000000-0005-0000-0000-000071050000}"/>
    <cellStyle name="SAPBEXinputData" xfId="1385" xr:uid="{00000000-0005-0000-0000-000072050000}"/>
    <cellStyle name="SAPBEXinputData 10" xfId="1386" xr:uid="{00000000-0005-0000-0000-000073050000}"/>
    <cellStyle name="SAPBEXinputData 11" xfId="1387" xr:uid="{00000000-0005-0000-0000-000074050000}"/>
    <cellStyle name="SAPBEXinputData 2" xfId="1388" xr:uid="{00000000-0005-0000-0000-000075050000}"/>
    <cellStyle name="SAPBEXinputData 2 2" xfId="1389" xr:uid="{00000000-0005-0000-0000-000076050000}"/>
    <cellStyle name="SAPBEXinputData 2 2 2" xfId="1390" xr:uid="{00000000-0005-0000-0000-000077050000}"/>
    <cellStyle name="SAPBEXinputData 3" xfId="1391" xr:uid="{00000000-0005-0000-0000-000078050000}"/>
    <cellStyle name="SAPBEXinputData 4" xfId="1392" xr:uid="{00000000-0005-0000-0000-000079050000}"/>
    <cellStyle name="SAPBEXinputData 5" xfId="1393" xr:uid="{00000000-0005-0000-0000-00007A050000}"/>
    <cellStyle name="SAPBEXinputData 6" xfId="1394" xr:uid="{00000000-0005-0000-0000-00007B050000}"/>
    <cellStyle name="SAPBEXinputData 7" xfId="1395" xr:uid="{00000000-0005-0000-0000-00007C050000}"/>
    <cellStyle name="SAPBEXinputData 8" xfId="1396" xr:uid="{00000000-0005-0000-0000-00007D050000}"/>
    <cellStyle name="SAPBEXinputData 9" xfId="1397" xr:uid="{00000000-0005-0000-0000-00007E050000}"/>
    <cellStyle name="SAPBEXinputData_gxaccion, 68" xfId="1398" xr:uid="{00000000-0005-0000-0000-00007F050000}"/>
    <cellStyle name="SAPBEXItemHeader" xfId="1399" xr:uid="{00000000-0005-0000-0000-000080050000}"/>
    <cellStyle name="SAPBEXresData" xfId="1400" xr:uid="{00000000-0005-0000-0000-000081050000}"/>
    <cellStyle name="SAPBEXresData 10" xfId="1401" xr:uid="{00000000-0005-0000-0000-000082050000}"/>
    <cellStyle name="SAPBEXresData 11" xfId="1402" xr:uid="{00000000-0005-0000-0000-000083050000}"/>
    <cellStyle name="SAPBEXresData 2" xfId="1403" xr:uid="{00000000-0005-0000-0000-000084050000}"/>
    <cellStyle name="SAPBEXresData 2 2" xfId="1404" xr:uid="{00000000-0005-0000-0000-000085050000}"/>
    <cellStyle name="SAPBEXresData 2 2 2" xfId="1405" xr:uid="{00000000-0005-0000-0000-000086050000}"/>
    <cellStyle name="SAPBEXresData 3" xfId="1406" xr:uid="{00000000-0005-0000-0000-000087050000}"/>
    <cellStyle name="SAPBEXresData 4" xfId="1407" xr:uid="{00000000-0005-0000-0000-000088050000}"/>
    <cellStyle name="SAPBEXresData 5" xfId="1408" xr:uid="{00000000-0005-0000-0000-000089050000}"/>
    <cellStyle name="SAPBEXresData 6" xfId="1409" xr:uid="{00000000-0005-0000-0000-00008A050000}"/>
    <cellStyle name="SAPBEXresData 7" xfId="1410" xr:uid="{00000000-0005-0000-0000-00008B050000}"/>
    <cellStyle name="SAPBEXresData 8" xfId="1411" xr:uid="{00000000-0005-0000-0000-00008C050000}"/>
    <cellStyle name="SAPBEXresData 9" xfId="1412" xr:uid="{00000000-0005-0000-0000-00008D050000}"/>
    <cellStyle name="SAPBEXresData_valor justo.junio2010" xfId="1413" xr:uid="{00000000-0005-0000-0000-00008E050000}"/>
    <cellStyle name="SAPBEXresDataEmph" xfId="1414" xr:uid="{00000000-0005-0000-0000-00008F050000}"/>
    <cellStyle name="SAPBEXresDataEmph 10" xfId="1415" xr:uid="{00000000-0005-0000-0000-000090050000}"/>
    <cellStyle name="SAPBEXresDataEmph 11" xfId="1416" xr:uid="{00000000-0005-0000-0000-000091050000}"/>
    <cellStyle name="SAPBEXresDataEmph 2" xfId="1417" xr:uid="{00000000-0005-0000-0000-000092050000}"/>
    <cellStyle name="SAPBEXresDataEmph 2 2" xfId="1418" xr:uid="{00000000-0005-0000-0000-000093050000}"/>
    <cellStyle name="SAPBEXresDataEmph 2 2 2" xfId="1419" xr:uid="{00000000-0005-0000-0000-000094050000}"/>
    <cellStyle name="SAPBEXresDataEmph 3" xfId="1420" xr:uid="{00000000-0005-0000-0000-000095050000}"/>
    <cellStyle name="SAPBEXresDataEmph 4" xfId="1421" xr:uid="{00000000-0005-0000-0000-000096050000}"/>
    <cellStyle name="SAPBEXresDataEmph 5" xfId="1422" xr:uid="{00000000-0005-0000-0000-000097050000}"/>
    <cellStyle name="SAPBEXresDataEmph 6" xfId="1423" xr:uid="{00000000-0005-0000-0000-000098050000}"/>
    <cellStyle name="SAPBEXresDataEmph 7" xfId="1424" xr:uid="{00000000-0005-0000-0000-000099050000}"/>
    <cellStyle name="SAPBEXresDataEmph 8" xfId="1425" xr:uid="{00000000-0005-0000-0000-00009A050000}"/>
    <cellStyle name="SAPBEXresDataEmph 9" xfId="1426" xr:uid="{00000000-0005-0000-0000-00009B050000}"/>
    <cellStyle name="SAPBEXresDataEmph_valor justo.junio2010" xfId="1427" xr:uid="{00000000-0005-0000-0000-00009C050000}"/>
    <cellStyle name="SAPBEXresItem" xfId="1428" xr:uid="{00000000-0005-0000-0000-00009D050000}"/>
    <cellStyle name="SAPBEXresItem 10" xfId="1429" xr:uid="{00000000-0005-0000-0000-00009E050000}"/>
    <cellStyle name="SAPBEXresItem 11" xfId="1430" xr:uid="{00000000-0005-0000-0000-00009F050000}"/>
    <cellStyle name="SAPBEXresItem 2" xfId="1431" xr:uid="{00000000-0005-0000-0000-0000A0050000}"/>
    <cellStyle name="SAPBEXresItem 2 2" xfId="1432" xr:uid="{00000000-0005-0000-0000-0000A1050000}"/>
    <cellStyle name="SAPBEXresItem 2 2 2" xfId="1433" xr:uid="{00000000-0005-0000-0000-0000A2050000}"/>
    <cellStyle name="SAPBEXresItem 3" xfId="1434" xr:uid="{00000000-0005-0000-0000-0000A3050000}"/>
    <cellStyle name="SAPBEXresItem 4" xfId="1435" xr:uid="{00000000-0005-0000-0000-0000A4050000}"/>
    <cellStyle name="SAPBEXresItem 5" xfId="1436" xr:uid="{00000000-0005-0000-0000-0000A5050000}"/>
    <cellStyle name="SAPBEXresItem 6" xfId="1437" xr:uid="{00000000-0005-0000-0000-0000A6050000}"/>
    <cellStyle name="SAPBEXresItem 7" xfId="1438" xr:uid="{00000000-0005-0000-0000-0000A7050000}"/>
    <cellStyle name="SAPBEXresItem 8" xfId="1439" xr:uid="{00000000-0005-0000-0000-0000A8050000}"/>
    <cellStyle name="SAPBEXresItem 9" xfId="1440" xr:uid="{00000000-0005-0000-0000-0000A9050000}"/>
    <cellStyle name="SAPBEXresItem_valor justo.junio2010" xfId="1441" xr:uid="{00000000-0005-0000-0000-0000AA050000}"/>
    <cellStyle name="SAPBEXresItemX" xfId="1442" xr:uid="{00000000-0005-0000-0000-0000AB050000}"/>
    <cellStyle name="SAPBEXresItemX 10" xfId="1443" xr:uid="{00000000-0005-0000-0000-0000AC050000}"/>
    <cellStyle name="SAPBEXresItemX 11" xfId="1444" xr:uid="{00000000-0005-0000-0000-0000AD050000}"/>
    <cellStyle name="SAPBEXresItemX 2" xfId="1445" xr:uid="{00000000-0005-0000-0000-0000AE050000}"/>
    <cellStyle name="SAPBEXresItemX 2 2" xfId="1446" xr:uid="{00000000-0005-0000-0000-0000AF050000}"/>
    <cellStyle name="SAPBEXresItemX 2 2 2" xfId="1447" xr:uid="{00000000-0005-0000-0000-0000B0050000}"/>
    <cellStyle name="SAPBEXresItemX 3" xfId="1448" xr:uid="{00000000-0005-0000-0000-0000B1050000}"/>
    <cellStyle name="SAPBEXresItemX 4" xfId="1449" xr:uid="{00000000-0005-0000-0000-0000B2050000}"/>
    <cellStyle name="SAPBEXresItemX 5" xfId="1450" xr:uid="{00000000-0005-0000-0000-0000B3050000}"/>
    <cellStyle name="SAPBEXresItemX 6" xfId="1451" xr:uid="{00000000-0005-0000-0000-0000B4050000}"/>
    <cellStyle name="SAPBEXresItemX 7" xfId="1452" xr:uid="{00000000-0005-0000-0000-0000B5050000}"/>
    <cellStyle name="SAPBEXresItemX 8" xfId="1453" xr:uid="{00000000-0005-0000-0000-0000B6050000}"/>
    <cellStyle name="SAPBEXresItemX 9" xfId="1454" xr:uid="{00000000-0005-0000-0000-0000B7050000}"/>
    <cellStyle name="SAPBEXresItemX_valor justo.junio2010" xfId="1455" xr:uid="{00000000-0005-0000-0000-0000B8050000}"/>
    <cellStyle name="SAPBEXstdData" xfId="1456" xr:uid="{00000000-0005-0000-0000-0000B9050000}"/>
    <cellStyle name="SAPBEXstdData 10" xfId="1457" xr:uid="{00000000-0005-0000-0000-0000BA050000}"/>
    <cellStyle name="SAPBEXstdData 11" xfId="1458" xr:uid="{00000000-0005-0000-0000-0000BB050000}"/>
    <cellStyle name="SAPBEXstdData 2" xfId="1459" xr:uid="{00000000-0005-0000-0000-0000BC050000}"/>
    <cellStyle name="SAPBEXstdData 2 2" xfId="1460" xr:uid="{00000000-0005-0000-0000-0000BD050000}"/>
    <cellStyle name="SAPBEXstdData 2 2 2" xfId="1461" xr:uid="{00000000-0005-0000-0000-0000BE050000}"/>
    <cellStyle name="SAPBEXstdData 3" xfId="1462" xr:uid="{00000000-0005-0000-0000-0000BF050000}"/>
    <cellStyle name="SAPBEXstdData 4" xfId="1463" xr:uid="{00000000-0005-0000-0000-0000C0050000}"/>
    <cellStyle name="SAPBEXstdData 5" xfId="1464" xr:uid="{00000000-0005-0000-0000-0000C1050000}"/>
    <cellStyle name="SAPBEXstdData 6" xfId="1465" xr:uid="{00000000-0005-0000-0000-0000C2050000}"/>
    <cellStyle name="SAPBEXstdData 7" xfId="1466" xr:uid="{00000000-0005-0000-0000-0000C3050000}"/>
    <cellStyle name="SAPBEXstdData 8" xfId="1467" xr:uid="{00000000-0005-0000-0000-0000C4050000}"/>
    <cellStyle name="SAPBEXstdData 9" xfId="1468" xr:uid="{00000000-0005-0000-0000-0000C5050000}"/>
    <cellStyle name="SAPBEXstdData_gxaccion, 68" xfId="1469" xr:uid="{00000000-0005-0000-0000-0000C6050000}"/>
    <cellStyle name="SAPBEXstdDataEmph" xfId="1470" xr:uid="{00000000-0005-0000-0000-0000C7050000}"/>
    <cellStyle name="SAPBEXstdDataEmph 10" xfId="1471" xr:uid="{00000000-0005-0000-0000-0000C8050000}"/>
    <cellStyle name="SAPBEXstdDataEmph 11" xfId="1472" xr:uid="{00000000-0005-0000-0000-0000C9050000}"/>
    <cellStyle name="SAPBEXstdDataEmph 2" xfId="1473" xr:uid="{00000000-0005-0000-0000-0000CA050000}"/>
    <cellStyle name="SAPBEXstdDataEmph 2 2" xfId="1474" xr:uid="{00000000-0005-0000-0000-0000CB050000}"/>
    <cellStyle name="SAPBEXstdDataEmph 2 2 2" xfId="1475" xr:uid="{00000000-0005-0000-0000-0000CC050000}"/>
    <cellStyle name="SAPBEXstdDataEmph 3" xfId="1476" xr:uid="{00000000-0005-0000-0000-0000CD050000}"/>
    <cellStyle name="SAPBEXstdDataEmph 4" xfId="1477" xr:uid="{00000000-0005-0000-0000-0000CE050000}"/>
    <cellStyle name="SAPBEXstdDataEmph 5" xfId="1478" xr:uid="{00000000-0005-0000-0000-0000CF050000}"/>
    <cellStyle name="SAPBEXstdDataEmph 6" xfId="1479" xr:uid="{00000000-0005-0000-0000-0000D0050000}"/>
    <cellStyle name="SAPBEXstdDataEmph 7" xfId="1480" xr:uid="{00000000-0005-0000-0000-0000D1050000}"/>
    <cellStyle name="SAPBEXstdDataEmph 8" xfId="1481" xr:uid="{00000000-0005-0000-0000-0000D2050000}"/>
    <cellStyle name="SAPBEXstdDataEmph 9" xfId="1482" xr:uid="{00000000-0005-0000-0000-0000D3050000}"/>
    <cellStyle name="SAPBEXstdDataEmph_valor justo.junio2010" xfId="1483" xr:uid="{00000000-0005-0000-0000-0000D4050000}"/>
    <cellStyle name="SAPBEXstdItem" xfId="1484" xr:uid="{00000000-0005-0000-0000-0000D5050000}"/>
    <cellStyle name="SAPBEXstdItem 10" xfId="1485" xr:uid="{00000000-0005-0000-0000-0000D6050000}"/>
    <cellStyle name="SAPBEXstdItem 11" xfId="1486" xr:uid="{00000000-0005-0000-0000-0000D7050000}"/>
    <cellStyle name="SAPBEXstdItem 2" xfId="1487" xr:uid="{00000000-0005-0000-0000-0000D8050000}"/>
    <cellStyle name="SAPBEXstdItem 2 2" xfId="1488" xr:uid="{00000000-0005-0000-0000-0000D9050000}"/>
    <cellStyle name="SAPBEXstdItem 2 2 2" xfId="1489" xr:uid="{00000000-0005-0000-0000-0000DA050000}"/>
    <cellStyle name="SAPBEXstdItem 3" xfId="1490" xr:uid="{00000000-0005-0000-0000-0000DB050000}"/>
    <cellStyle name="SAPBEXstdItem 4" xfId="1491" xr:uid="{00000000-0005-0000-0000-0000DC050000}"/>
    <cellStyle name="SAPBEXstdItem 5" xfId="1492" xr:uid="{00000000-0005-0000-0000-0000DD050000}"/>
    <cellStyle name="SAPBEXstdItem 6" xfId="1493" xr:uid="{00000000-0005-0000-0000-0000DE050000}"/>
    <cellStyle name="SAPBEXstdItem 7" xfId="1494" xr:uid="{00000000-0005-0000-0000-0000DF050000}"/>
    <cellStyle name="SAPBEXstdItem 8" xfId="1495" xr:uid="{00000000-0005-0000-0000-0000E0050000}"/>
    <cellStyle name="SAPBEXstdItem 9" xfId="1496" xr:uid="{00000000-0005-0000-0000-0000E1050000}"/>
    <cellStyle name="SAPBEXstdItem_gxaccion, 68" xfId="1497" xr:uid="{00000000-0005-0000-0000-0000E2050000}"/>
    <cellStyle name="SAPBEXstdItemX" xfId="1498" xr:uid="{00000000-0005-0000-0000-0000E3050000}"/>
    <cellStyle name="SAPBEXstdItemX 10" xfId="1499" xr:uid="{00000000-0005-0000-0000-0000E4050000}"/>
    <cellStyle name="SAPBEXstdItemX 11" xfId="1500" xr:uid="{00000000-0005-0000-0000-0000E5050000}"/>
    <cellStyle name="SAPBEXstdItemX 2" xfId="1501" xr:uid="{00000000-0005-0000-0000-0000E6050000}"/>
    <cellStyle name="SAPBEXstdItemX 2 2" xfId="1502" xr:uid="{00000000-0005-0000-0000-0000E7050000}"/>
    <cellStyle name="SAPBEXstdItemX 2 2 2" xfId="1503" xr:uid="{00000000-0005-0000-0000-0000E8050000}"/>
    <cellStyle name="SAPBEXstdItemX 3" xfId="1504" xr:uid="{00000000-0005-0000-0000-0000E9050000}"/>
    <cellStyle name="SAPBEXstdItemX 4" xfId="1505" xr:uid="{00000000-0005-0000-0000-0000EA050000}"/>
    <cellStyle name="SAPBEXstdItemX 5" xfId="1506" xr:uid="{00000000-0005-0000-0000-0000EB050000}"/>
    <cellStyle name="SAPBEXstdItemX 6" xfId="1507" xr:uid="{00000000-0005-0000-0000-0000EC050000}"/>
    <cellStyle name="SAPBEXstdItemX 7" xfId="1508" xr:uid="{00000000-0005-0000-0000-0000ED050000}"/>
    <cellStyle name="SAPBEXstdItemX 8" xfId="1509" xr:uid="{00000000-0005-0000-0000-0000EE050000}"/>
    <cellStyle name="SAPBEXstdItemX 9" xfId="1510" xr:uid="{00000000-0005-0000-0000-0000EF050000}"/>
    <cellStyle name="SAPBEXstdItemX_valor justo.junio2010" xfId="1511" xr:uid="{00000000-0005-0000-0000-0000F0050000}"/>
    <cellStyle name="SAPBEXtitle" xfId="1512" xr:uid="{00000000-0005-0000-0000-0000F1050000}"/>
    <cellStyle name="SAPBEXtitle 10" xfId="1513" xr:uid="{00000000-0005-0000-0000-0000F2050000}"/>
    <cellStyle name="SAPBEXtitle 11" xfId="1514" xr:uid="{00000000-0005-0000-0000-0000F3050000}"/>
    <cellStyle name="SAPBEXtitle 2" xfId="1515" xr:uid="{00000000-0005-0000-0000-0000F4050000}"/>
    <cellStyle name="SAPBEXtitle 2 2" xfId="1516" xr:uid="{00000000-0005-0000-0000-0000F5050000}"/>
    <cellStyle name="SAPBEXtitle 2 2 2" xfId="1517" xr:uid="{00000000-0005-0000-0000-0000F6050000}"/>
    <cellStyle name="SAPBEXtitle 3" xfId="1518" xr:uid="{00000000-0005-0000-0000-0000F7050000}"/>
    <cellStyle name="SAPBEXtitle 4" xfId="1519" xr:uid="{00000000-0005-0000-0000-0000F8050000}"/>
    <cellStyle name="SAPBEXtitle 5" xfId="1520" xr:uid="{00000000-0005-0000-0000-0000F9050000}"/>
    <cellStyle name="SAPBEXtitle 6" xfId="1521" xr:uid="{00000000-0005-0000-0000-0000FA050000}"/>
    <cellStyle name="SAPBEXtitle 7" xfId="1522" xr:uid="{00000000-0005-0000-0000-0000FB050000}"/>
    <cellStyle name="SAPBEXtitle 8" xfId="1523" xr:uid="{00000000-0005-0000-0000-0000FC050000}"/>
    <cellStyle name="SAPBEXtitle 9" xfId="1524" xr:uid="{00000000-0005-0000-0000-0000FD050000}"/>
    <cellStyle name="SAPBEXunassignedItem" xfId="1525" xr:uid="{00000000-0005-0000-0000-0000FE050000}"/>
    <cellStyle name="SAPBEXunassignedItem 2" xfId="1526" xr:uid="{00000000-0005-0000-0000-0000FF050000}"/>
    <cellStyle name="SAPBEXunassignedItem 3" xfId="1527" xr:uid="{00000000-0005-0000-0000-000000060000}"/>
    <cellStyle name="SAPBEXunassignedItem 4" xfId="1528" xr:uid="{00000000-0005-0000-0000-000001060000}"/>
    <cellStyle name="SAPBEXunassignedItem 5" xfId="1529" xr:uid="{00000000-0005-0000-0000-000002060000}"/>
    <cellStyle name="SAPBEXundefined" xfId="1530" xr:uid="{00000000-0005-0000-0000-000003060000}"/>
    <cellStyle name="SAPBEXundefined 10" xfId="1531" xr:uid="{00000000-0005-0000-0000-000004060000}"/>
    <cellStyle name="SAPBEXundefined 11" xfId="1532" xr:uid="{00000000-0005-0000-0000-000005060000}"/>
    <cellStyle name="SAPBEXundefined 2" xfId="1533" xr:uid="{00000000-0005-0000-0000-000006060000}"/>
    <cellStyle name="SAPBEXundefined 2 2" xfId="1534" xr:uid="{00000000-0005-0000-0000-000007060000}"/>
    <cellStyle name="SAPBEXundefined 2 2 2" xfId="1535" xr:uid="{00000000-0005-0000-0000-000008060000}"/>
    <cellStyle name="SAPBEXundefined 3" xfId="1536" xr:uid="{00000000-0005-0000-0000-000009060000}"/>
    <cellStyle name="SAPBEXundefined 4" xfId="1537" xr:uid="{00000000-0005-0000-0000-00000A060000}"/>
    <cellStyle name="SAPBEXundefined 5" xfId="1538" xr:uid="{00000000-0005-0000-0000-00000B060000}"/>
    <cellStyle name="SAPBEXundefined 6" xfId="1539" xr:uid="{00000000-0005-0000-0000-00000C060000}"/>
    <cellStyle name="SAPBEXundefined 7" xfId="1540" xr:uid="{00000000-0005-0000-0000-00000D060000}"/>
    <cellStyle name="SAPBEXundefined 8" xfId="1541" xr:uid="{00000000-0005-0000-0000-00000E060000}"/>
    <cellStyle name="SAPBEXundefined 9" xfId="1542" xr:uid="{00000000-0005-0000-0000-00000F060000}"/>
    <cellStyle name="SAPBEXundefined_valor justo.junio2010" xfId="1543" xr:uid="{00000000-0005-0000-0000-000010060000}"/>
    <cellStyle name="Sheet Title" xfId="1544" xr:uid="{00000000-0005-0000-0000-000011060000}"/>
    <cellStyle name="Suma" xfId="1545" xr:uid="{00000000-0005-0000-0000-000012060000}"/>
    <cellStyle name="Tekst obja?nienia" xfId="1546" xr:uid="{00000000-0005-0000-0000-000013060000}"/>
    <cellStyle name="Tekst objaśnienia" xfId="1547" xr:uid="{00000000-0005-0000-0000-000014060000}"/>
    <cellStyle name="Tekst ostrze?enia" xfId="1548" xr:uid="{00000000-0005-0000-0000-000015060000}"/>
    <cellStyle name="Tekst ostrzeżenia" xfId="1549" xr:uid="{00000000-0005-0000-0000-000016060000}"/>
    <cellStyle name="Texto de advertencia" xfId="1550" builtinId="11" customBuiltin="1"/>
    <cellStyle name="Texto de advertencia 2" xfId="1551" xr:uid="{00000000-0005-0000-0000-000018060000}"/>
    <cellStyle name="Texto de advertencia 2 2" xfId="1552" xr:uid="{00000000-0005-0000-0000-000019060000}"/>
    <cellStyle name="Texto de advertencia 2 3" xfId="1553" xr:uid="{00000000-0005-0000-0000-00001A060000}"/>
    <cellStyle name="Texto de advertencia 2 4" xfId="1554" xr:uid="{00000000-0005-0000-0000-00001B060000}"/>
    <cellStyle name="Texto de advertencia 2 5" xfId="1555" xr:uid="{00000000-0005-0000-0000-00001C060000}"/>
    <cellStyle name="Texto de advertencia 2 6" xfId="1556" xr:uid="{00000000-0005-0000-0000-00001D060000}"/>
    <cellStyle name="Texto de advertencia 3" xfId="1557" xr:uid="{00000000-0005-0000-0000-00001E060000}"/>
    <cellStyle name="Texto de advertencia 3 2" xfId="1558" xr:uid="{00000000-0005-0000-0000-00001F060000}"/>
    <cellStyle name="Texto de advertencia 3 3" xfId="1559" xr:uid="{00000000-0005-0000-0000-000020060000}"/>
    <cellStyle name="Texto de advertencia 3 4" xfId="1560" xr:uid="{00000000-0005-0000-0000-000021060000}"/>
    <cellStyle name="Texto de advertencia 3 5" xfId="1561" xr:uid="{00000000-0005-0000-0000-000022060000}"/>
    <cellStyle name="Texto de advertencia 4" xfId="1562" xr:uid="{00000000-0005-0000-0000-000023060000}"/>
    <cellStyle name="Texto de advertencia 4 2" xfId="1563" xr:uid="{00000000-0005-0000-0000-000024060000}"/>
    <cellStyle name="Texto de advertencia 4 3" xfId="1564" xr:uid="{00000000-0005-0000-0000-000025060000}"/>
    <cellStyle name="Texto de advertencia 4 4" xfId="1565" xr:uid="{00000000-0005-0000-0000-000026060000}"/>
    <cellStyle name="Texto de advertencia 4 5" xfId="1566" xr:uid="{00000000-0005-0000-0000-000027060000}"/>
    <cellStyle name="Texto de advertencia 5" xfId="1567" xr:uid="{00000000-0005-0000-0000-000028060000}"/>
    <cellStyle name="Texto de advertencia 5 2" xfId="1568" xr:uid="{00000000-0005-0000-0000-000029060000}"/>
    <cellStyle name="Texto de advertencia 5 3" xfId="1569" xr:uid="{00000000-0005-0000-0000-00002A060000}"/>
    <cellStyle name="Texto de advertencia 5 4" xfId="1570" xr:uid="{00000000-0005-0000-0000-00002B060000}"/>
    <cellStyle name="Texto de advertencia 5 5" xfId="1571" xr:uid="{00000000-0005-0000-0000-00002C060000}"/>
    <cellStyle name="Texto de advertencia 6" xfId="1572" xr:uid="{00000000-0005-0000-0000-00002D060000}"/>
    <cellStyle name="Texto de advertencia 6 2" xfId="1573" xr:uid="{00000000-0005-0000-0000-00002E060000}"/>
    <cellStyle name="Texto de advertencia 7" xfId="1574" xr:uid="{00000000-0005-0000-0000-00002F060000}"/>
    <cellStyle name="Texto de advertencia 8" xfId="1575" xr:uid="{00000000-0005-0000-0000-000030060000}"/>
    <cellStyle name="Texto de advertencia 9" xfId="1576" xr:uid="{00000000-0005-0000-0000-000031060000}"/>
    <cellStyle name="Texto explicativo" xfId="1577" builtinId="53" customBuiltin="1"/>
    <cellStyle name="Texto explicativo 2 2" xfId="1578" xr:uid="{00000000-0005-0000-0000-000033060000}"/>
    <cellStyle name="Title" xfId="1579" xr:uid="{00000000-0005-0000-0000-000034060000}"/>
    <cellStyle name="Título" xfId="1580" builtinId="15" customBuiltin="1"/>
    <cellStyle name="Título 1 2" xfId="1582" xr:uid="{00000000-0005-0000-0000-000036060000}"/>
    <cellStyle name="Título 1 2 2" xfId="1583" xr:uid="{00000000-0005-0000-0000-000037060000}"/>
    <cellStyle name="Título 1 2 3" xfId="1584" xr:uid="{00000000-0005-0000-0000-000038060000}"/>
    <cellStyle name="Título 1 2 4" xfId="1585" xr:uid="{00000000-0005-0000-0000-000039060000}"/>
    <cellStyle name="Título 1 2 5" xfId="1586" xr:uid="{00000000-0005-0000-0000-00003A060000}"/>
    <cellStyle name="Título 1 2 6" xfId="1587" xr:uid="{00000000-0005-0000-0000-00003B060000}"/>
    <cellStyle name="Título 1 3" xfId="1588" xr:uid="{00000000-0005-0000-0000-00003C060000}"/>
    <cellStyle name="Título 1 3 2" xfId="1589" xr:uid="{00000000-0005-0000-0000-00003D060000}"/>
    <cellStyle name="Título 1 3 3" xfId="1590" xr:uid="{00000000-0005-0000-0000-00003E060000}"/>
    <cellStyle name="Título 1 3 4" xfId="1591" xr:uid="{00000000-0005-0000-0000-00003F060000}"/>
    <cellStyle name="Título 1 3 5" xfId="1592" xr:uid="{00000000-0005-0000-0000-000040060000}"/>
    <cellStyle name="Título 1 4" xfId="1593" xr:uid="{00000000-0005-0000-0000-000041060000}"/>
    <cellStyle name="Título 1 4 2" xfId="1594" xr:uid="{00000000-0005-0000-0000-000042060000}"/>
    <cellStyle name="Título 1 4 3" xfId="1595" xr:uid="{00000000-0005-0000-0000-000043060000}"/>
    <cellStyle name="Título 1 4 4" xfId="1596" xr:uid="{00000000-0005-0000-0000-000044060000}"/>
    <cellStyle name="Título 1 4 5" xfId="1597" xr:uid="{00000000-0005-0000-0000-000045060000}"/>
    <cellStyle name="Título 1 5" xfId="1598" xr:uid="{00000000-0005-0000-0000-000046060000}"/>
    <cellStyle name="Título 1 5 2" xfId="1599" xr:uid="{00000000-0005-0000-0000-000047060000}"/>
    <cellStyle name="Título 1 5 3" xfId="1600" xr:uid="{00000000-0005-0000-0000-000048060000}"/>
    <cellStyle name="Título 1 5 4" xfId="1601" xr:uid="{00000000-0005-0000-0000-000049060000}"/>
    <cellStyle name="Título 1 5 5" xfId="1602" xr:uid="{00000000-0005-0000-0000-00004A060000}"/>
    <cellStyle name="Título 1 6" xfId="1603" xr:uid="{00000000-0005-0000-0000-00004B060000}"/>
    <cellStyle name="Título 1 7" xfId="1604" xr:uid="{00000000-0005-0000-0000-00004C060000}"/>
    <cellStyle name="Título 1 8" xfId="1605" xr:uid="{00000000-0005-0000-0000-00004D060000}"/>
    <cellStyle name="Título 1 9" xfId="1606" xr:uid="{00000000-0005-0000-0000-00004E060000}"/>
    <cellStyle name="Título 2" xfId="1607" builtinId="17" customBuiltin="1"/>
    <cellStyle name="Título 2 2" xfId="1608" xr:uid="{00000000-0005-0000-0000-000050060000}"/>
    <cellStyle name="Título 2 2 2" xfId="1609" xr:uid="{00000000-0005-0000-0000-000051060000}"/>
    <cellStyle name="Título 2 2 3" xfId="1610" xr:uid="{00000000-0005-0000-0000-000052060000}"/>
    <cellStyle name="Título 2 2 4" xfId="1611" xr:uid="{00000000-0005-0000-0000-000053060000}"/>
    <cellStyle name="Título 2 2 5" xfId="1612" xr:uid="{00000000-0005-0000-0000-000054060000}"/>
    <cellStyle name="Título 2 2 6" xfId="1613" xr:uid="{00000000-0005-0000-0000-000055060000}"/>
    <cellStyle name="Título 2 3" xfId="1614" xr:uid="{00000000-0005-0000-0000-000056060000}"/>
    <cellStyle name="Título 2 3 2" xfId="1615" xr:uid="{00000000-0005-0000-0000-000057060000}"/>
    <cellStyle name="Título 2 3 3" xfId="1616" xr:uid="{00000000-0005-0000-0000-000058060000}"/>
    <cellStyle name="Título 2 3 4" xfId="1617" xr:uid="{00000000-0005-0000-0000-000059060000}"/>
    <cellStyle name="Título 2 3 5" xfId="1618" xr:uid="{00000000-0005-0000-0000-00005A060000}"/>
    <cellStyle name="Título 2 4" xfId="1619" xr:uid="{00000000-0005-0000-0000-00005B060000}"/>
    <cellStyle name="Título 2 4 2" xfId="1620" xr:uid="{00000000-0005-0000-0000-00005C060000}"/>
    <cellStyle name="Título 2 4 3" xfId="1621" xr:uid="{00000000-0005-0000-0000-00005D060000}"/>
    <cellStyle name="Título 2 4 4" xfId="1622" xr:uid="{00000000-0005-0000-0000-00005E060000}"/>
    <cellStyle name="Título 2 4 5" xfId="1623" xr:uid="{00000000-0005-0000-0000-00005F060000}"/>
    <cellStyle name="Título 2 5" xfId="1624" xr:uid="{00000000-0005-0000-0000-000060060000}"/>
    <cellStyle name="Título 2 5 2" xfId="1625" xr:uid="{00000000-0005-0000-0000-000061060000}"/>
    <cellStyle name="Título 2 5 3" xfId="1626" xr:uid="{00000000-0005-0000-0000-000062060000}"/>
    <cellStyle name="Título 2 5 4" xfId="1627" xr:uid="{00000000-0005-0000-0000-000063060000}"/>
    <cellStyle name="Título 2 5 5" xfId="1628" xr:uid="{00000000-0005-0000-0000-000064060000}"/>
    <cellStyle name="Título 2 6" xfId="1629" xr:uid="{00000000-0005-0000-0000-000065060000}"/>
    <cellStyle name="Título 2 6 2" xfId="1630" xr:uid="{00000000-0005-0000-0000-000066060000}"/>
    <cellStyle name="Título 2 7" xfId="1631" xr:uid="{00000000-0005-0000-0000-000067060000}"/>
    <cellStyle name="Título 2 8" xfId="1632" xr:uid="{00000000-0005-0000-0000-000068060000}"/>
    <cellStyle name="Título 2 9" xfId="1633" xr:uid="{00000000-0005-0000-0000-000069060000}"/>
    <cellStyle name="Título 3" xfId="1634" builtinId="18" customBuiltin="1"/>
    <cellStyle name="Título 3 2" xfId="1635" xr:uid="{00000000-0005-0000-0000-00006B060000}"/>
    <cellStyle name="Título 3 2 2" xfId="1636" xr:uid="{00000000-0005-0000-0000-00006C060000}"/>
    <cellStyle name="Título 3 2 3" xfId="1637" xr:uid="{00000000-0005-0000-0000-00006D060000}"/>
    <cellStyle name="Título 3 2 4" xfId="1638" xr:uid="{00000000-0005-0000-0000-00006E060000}"/>
    <cellStyle name="Título 3 2 5" xfId="1639" xr:uid="{00000000-0005-0000-0000-00006F060000}"/>
    <cellStyle name="Título 3 2 6" xfId="1640" xr:uid="{00000000-0005-0000-0000-000070060000}"/>
    <cellStyle name="Título 3 3" xfId="1641" xr:uid="{00000000-0005-0000-0000-000071060000}"/>
    <cellStyle name="Título 3 3 2" xfId="1642" xr:uid="{00000000-0005-0000-0000-000072060000}"/>
    <cellStyle name="Título 3 3 3" xfId="1643" xr:uid="{00000000-0005-0000-0000-000073060000}"/>
    <cellStyle name="Título 3 3 4" xfId="1644" xr:uid="{00000000-0005-0000-0000-000074060000}"/>
    <cellStyle name="Título 3 3 5" xfId="1645" xr:uid="{00000000-0005-0000-0000-000075060000}"/>
    <cellStyle name="Título 3 4" xfId="1646" xr:uid="{00000000-0005-0000-0000-000076060000}"/>
    <cellStyle name="Título 3 4 2" xfId="1647" xr:uid="{00000000-0005-0000-0000-000077060000}"/>
    <cellStyle name="Título 3 4 3" xfId="1648" xr:uid="{00000000-0005-0000-0000-000078060000}"/>
    <cellStyle name="Título 3 4 4" xfId="1649" xr:uid="{00000000-0005-0000-0000-000079060000}"/>
    <cellStyle name="Título 3 4 5" xfId="1650" xr:uid="{00000000-0005-0000-0000-00007A060000}"/>
    <cellStyle name="Título 3 5" xfId="1651" xr:uid="{00000000-0005-0000-0000-00007B060000}"/>
    <cellStyle name="Título 3 5 2" xfId="1652" xr:uid="{00000000-0005-0000-0000-00007C060000}"/>
    <cellStyle name="Título 3 5 3" xfId="1653" xr:uid="{00000000-0005-0000-0000-00007D060000}"/>
    <cellStyle name="Título 3 5 4" xfId="1654" xr:uid="{00000000-0005-0000-0000-00007E060000}"/>
    <cellStyle name="Título 3 5 5" xfId="1655" xr:uid="{00000000-0005-0000-0000-00007F060000}"/>
    <cellStyle name="Título 3 6" xfId="1656" xr:uid="{00000000-0005-0000-0000-000080060000}"/>
    <cellStyle name="Título 3 6 2" xfId="1657" xr:uid="{00000000-0005-0000-0000-000081060000}"/>
    <cellStyle name="Título 3 7" xfId="1658" xr:uid="{00000000-0005-0000-0000-000082060000}"/>
    <cellStyle name="Título 3 8" xfId="1659" xr:uid="{00000000-0005-0000-0000-000083060000}"/>
    <cellStyle name="Título 3 9" xfId="1660" xr:uid="{00000000-0005-0000-0000-000084060000}"/>
    <cellStyle name="Total" xfId="1661" builtinId="25" customBuiltin="1"/>
    <cellStyle name="Total 2" xfId="1662" xr:uid="{00000000-0005-0000-0000-000086060000}"/>
    <cellStyle name="Total 2 2" xfId="1663" xr:uid="{00000000-0005-0000-0000-000087060000}"/>
    <cellStyle name="Total 2 3" xfId="1664" xr:uid="{00000000-0005-0000-0000-000088060000}"/>
    <cellStyle name="Total 2 4" xfId="1665" xr:uid="{00000000-0005-0000-0000-000089060000}"/>
    <cellStyle name="Total 2 5" xfId="1666" xr:uid="{00000000-0005-0000-0000-00008A060000}"/>
    <cellStyle name="Total 2 6" xfId="1667" xr:uid="{00000000-0005-0000-0000-00008B060000}"/>
    <cellStyle name="Total 3" xfId="1668" xr:uid="{00000000-0005-0000-0000-00008C060000}"/>
    <cellStyle name="Total 3 2" xfId="1669" xr:uid="{00000000-0005-0000-0000-00008D060000}"/>
    <cellStyle name="Total 3 3" xfId="1670" xr:uid="{00000000-0005-0000-0000-00008E060000}"/>
    <cellStyle name="Total 3 4" xfId="1671" xr:uid="{00000000-0005-0000-0000-00008F060000}"/>
    <cellStyle name="Total 3 5" xfId="1672" xr:uid="{00000000-0005-0000-0000-000090060000}"/>
    <cellStyle name="Total 4" xfId="1673" xr:uid="{00000000-0005-0000-0000-000091060000}"/>
    <cellStyle name="Total 4 2" xfId="1674" xr:uid="{00000000-0005-0000-0000-000092060000}"/>
    <cellStyle name="Total 4 3" xfId="1675" xr:uid="{00000000-0005-0000-0000-000093060000}"/>
    <cellStyle name="Total 4 4" xfId="1676" xr:uid="{00000000-0005-0000-0000-000094060000}"/>
    <cellStyle name="Total 4 5" xfId="1677" xr:uid="{00000000-0005-0000-0000-000095060000}"/>
    <cellStyle name="Total 5" xfId="1678" xr:uid="{00000000-0005-0000-0000-000096060000}"/>
    <cellStyle name="Total 5 2" xfId="1679" xr:uid="{00000000-0005-0000-0000-000097060000}"/>
    <cellStyle name="Total 5 3" xfId="1680" xr:uid="{00000000-0005-0000-0000-000098060000}"/>
    <cellStyle name="Total 5 4" xfId="1681" xr:uid="{00000000-0005-0000-0000-000099060000}"/>
    <cellStyle name="Total 5 5" xfId="1682" xr:uid="{00000000-0005-0000-0000-00009A060000}"/>
    <cellStyle name="Total 6" xfId="1683" xr:uid="{00000000-0005-0000-0000-00009B060000}"/>
    <cellStyle name="Total 7" xfId="1684" xr:uid="{00000000-0005-0000-0000-00009C060000}"/>
    <cellStyle name="Total 8" xfId="1685" xr:uid="{00000000-0005-0000-0000-00009D060000}"/>
    <cellStyle name="Total 9" xfId="1686" xr:uid="{00000000-0005-0000-0000-00009E060000}"/>
    <cellStyle name="Tytu?" xfId="1687" xr:uid="{00000000-0005-0000-0000-00009F060000}"/>
    <cellStyle name="Tytuł" xfId="1688" xr:uid="{00000000-0005-0000-0000-0000A0060000}"/>
    <cellStyle name="Uwaga" xfId="1689" xr:uid="{00000000-0005-0000-0000-0000A1060000}"/>
    <cellStyle name="Warning Text" xfId="1690" xr:uid="{00000000-0005-0000-0000-0000A2060000}"/>
    <cellStyle name="Warning Text 2" xfId="1691" xr:uid="{00000000-0005-0000-0000-0000A3060000}"/>
    <cellStyle name="Warning Text 3" xfId="1692" xr:uid="{00000000-0005-0000-0000-0000A4060000}"/>
    <cellStyle name="Warning Text 4" xfId="1693" xr:uid="{00000000-0005-0000-0000-0000A5060000}"/>
    <cellStyle name="Warning Text 5" xfId="1694" xr:uid="{00000000-0005-0000-0000-0000A6060000}"/>
    <cellStyle name="Z?e" xfId="1695" xr:uid="{00000000-0005-0000-0000-0000A7060000}"/>
    <cellStyle name="Złe" xfId="1696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89,14%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10,86%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1179895977</c:v>
                </c:pt>
                <c:pt idx="1">
                  <c:v>143681174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0A-4743-8FC5-E17CDB27E40E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0A-4743-8FC5-E17CDB27E40E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60A-4743-8FC5-E17CDB27E40E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60A-4743-8FC5-E17CDB27E40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'[4]Deuda Financiera'!$H$13:$H$14</c:f>
              <c:numCache>
                <c:formatCode>General</c:formatCode>
                <c:ptCount val="2"/>
                <c:pt idx="0">
                  <c:v>1176054590</c:v>
                </c:pt>
                <c:pt idx="1">
                  <c:v>108938199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0A-4743-8FC5-E17CDB27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Composición por instrumentos</a:t>
            </a:r>
            <a:endParaRPr lang="es-CL" sz="1200">
              <a:solidFill>
                <a:schemeClr val="tx2"/>
              </a:solidFill>
              <a:effectLst/>
            </a:endParaRPr>
          </a:p>
          <a:p>
            <a:pPr>
              <a:defRPr sz="1200"/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(M$)</a:t>
            </a:r>
            <a:endParaRPr lang="es-CL" sz="1200">
              <a:solidFill>
                <a:schemeClr val="tx2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15D-4D38-820A-8F8C126418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15D-4D38-820A-8F8C126418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15D-4D38-820A-8F8C1264184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5D-4D38-820A-8F8C126418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5D-4D38-820A-8F8C126418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5D-4D38-820A-8F8C1264184D}"/>
                </c:ext>
              </c:extLst>
            </c:dLbl>
            <c:dLbl>
              <c:idx val="3"/>
              <c:layout>
                <c:manualLayout>
                  <c:x val="-0.12830604664962317"/>
                  <c:y val="-1.438316386157571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5D-4D38-820A-8F8C12641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Financiera'!$D$13:$D$16</c:f>
              <c:numCache>
                <c:formatCode>#,##0</c:formatCode>
                <c:ptCount val="4"/>
                <c:pt idx="0">
                  <c:v>168579944</c:v>
                </c:pt>
                <c:pt idx="1">
                  <c:v>977119018</c:v>
                </c:pt>
                <c:pt idx="2">
                  <c:v>173856508</c:v>
                </c:pt>
                <c:pt idx="3">
                  <c:v>4046489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15D-4D38-820A-8F8C1264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D-4D38-820A-8F8C1264184D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D-4D38-820A-8F8C1264184D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5D-4D38-820A-8F8C1264184D}"/>
              </c:ext>
            </c:extLst>
          </c:dPt>
          <c:dLbls>
            <c:dLbl>
              <c:idx val="0"/>
              <c:layout>
                <c:manualLayout>
                  <c:x val="1.4568253567041525E-3"/>
                  <c:y val="-1.3916566695315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5D-4D38-820A-8F8C1264184D}"/>
                </c:ext>
              </c:extLst>
            </c:dLbl>
            <c:dLbl>
              <c:idx val="1"/>
              <c:layout>
                <c:manualLayout>
                  <c:x val="0.24416741070190714"/>
                  <c:y val="-0.122334427914666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5D-4D38-820A-8F8C1264184D}"/>
                </c:ext>
              </c:extLst>
            </c:dLbl>
            <c:dLbl>
              <c:idx val="2"/>
              <c:layout>
                <c:manualLayout>
                  <c:x val="-7.6325029057634428E-2"/>
                  <c:y val="8.159303066992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5D-4D38-820A-8F8C1264184D}"/>
                </c:ext>
              </c:extLst>
            </c:dLbl>
            <c:dLbl>
              <c:idx val="3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5D-4D38-820A-8F8C1264184D}"/>
                </c:ext>
              </c:extLst>
            </c:dLbl>
            <c:dLbl>
              <c:idx val="4"/>
              <c:layout>
                <c:manualLayout>
                  <c:x val="-0.19127448835272767"/>
                  <c:y val="1.0562567352110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5D-4D38-820A-8F8C126418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0.00%</c:formatCode>
                <c:ptCount val="4"/>
                <c:pt idx="0">
                  <c:v>0.12736</c:v>
                </c:pt>
                <c:pt idx="1">
                  <c:v>0.73823000000000005</c:v>
                </c:pt>
                <c:pt idx="2">
                  <c:v>0.13134999999999999</c:v>
                </c:pt>
                <c:pt idx="3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5D-4D38-820A-8F8C1264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171451</xdr:colOff>
      <xdr:row>18</xdr:row>
      <xdr:rowOff>38099</xdr:rowOff>
    </xdr:from>
    <xdr:to>
      <xdr:col>11</xdr:col>
      <xdr:colOff>1419225</xdr:colOff>
      <xdr:row>41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6CFE75-8B36-43E7-ACA6-9FAA44C5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1578428</xdr:colOff>
      <xdr:row>16</xdr:row>
      <xdr:rowOff>149676</xdr:rowOff>
    </xdr:from>
    <xdr:to>
      <xdr:col>6</xdr:col>
      <xdr:colOff>443139</xdr:colOff>
      <xdr:row>39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F012B0-7276-44F7-859B-36AA95E48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104775</xdr:colOff>
      <xdr:row>35</xdr:row>
      <xdr:rowOff>161925</xdr:rowOff>
    </xdr:from>
    <xdr:to>
      <xdr:col>4</xdr:col>
      <xdr:colOff>571500</xdr:colOff>
      <xdr:row>36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180975</xdr:rowOff>
    </xdr:from>
    <xdr:to>
      <xdr:col>5</xdr:col>
      <xdr:colOff>418186</xdr:colOff>
      <xdr:row>30</xdr:row>
      <xdr:rowOff>27969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46CB4F-96A8-A33B-4008-D53AF8546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1100"/>
          <a:ext cx="7314286" cy="48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uasandinascl-my.sharepoint.com/personal/jpalacio_aguasandinas_cl/Documents/Fecu%20IAM%204T2023_v1.xlsx" TargetMode="External"/><Relationship Id="rId1" Type="http://schemas.openxmlformats.org/officeDocument/2006/relationships/externalLinkPath" Target="https://aguasandinascl-my.sharepoint.com/personal/jpalacio_aguasandinas_cl/Documents/Fecu%20IAM%204T2023_v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disco04\Sistema%20de%20Consolidacion\SISTEMA-CONSOLIDACION\FECU%20%20IFRS\FECUS%20A&#209;O%202023\3%20Septiembre%202023\02%20EEFF%20y%20Notas%20IAM\Fecu%20IAM%203T2023_V0_pas.xlsx" TargetMode="External"/><Relationship Id="rId1" Type="http://schemas.openxmlformats.org/officeDocument/2006/relationships/externalLinkPath" Target="/SISTEMA-CONSOLIDACION/FECU%20%20IFRS/FECUS%20A&#209;O%202023/3%20Septiembre%202023/02%20EEFF%20y%20Notas%20IAM/Fecu%20IAM%203T2023_V0_pas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4\III%20Trimestre\03%20An&#225;lisis%20Razonado\AA\Con%20Revalorizacion\Tablas%20an&#225;lisis%20razonado%20AA_3T24%20DA.xlsx" TargetMode="External"/><Relationship Id="rId1" Type="http://schemas.openxmlformats.org/officeDocument/2006/relationships/externalLinkPath" Target="file:///\\Srvnas\00_gci\E&#176;F&#176;\2024\III%20Trimestre\03%20An&#225;lisis%20Razonado\AA\Con%20Revalorizacion\Tablas%20an&#225;lisis%20razonado%20AA_3T24%20D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disco04\Sistema%20de%20Consolidacion\SISTEMA-CONSOLIDACION\FECU%20%20IFRS\FECUS%20A&#209;O%202024\3%20Septiembre%202024\Nota%20Fecu%20IAM%203T2024_Septiembre_v0.xlsx" TargetMode="External"/><Relationship Id="rId1" Type="http://schemas.openxmlformats.org/officeDocument/2006/relationships/externalLinkPath" Target="/SISTEMA-CONSOLIDACION/FECU%20%20IFRS/FECUS%20A&#209;O%202024/3%20Septiembre%202024/Nota%20Fecu%20IAM%203T2024_Septiembre_v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V%20Trimestre\01%20Estados%20Financieros\Word%20y%20excel\01%20Fecu%20AA%204T23%20v1.xlsx" TargetMode="External"/><Relationship Id="rId1" Type="http://schemas.openxmlformats.org/officeDocument/2006/relationships/externalLinkPath" Target="file:///\\Srvnas\00_gci\E&#176;F&#176;\2023\IV%20Trimestre\01%20Estados%20Financieros\Word%20y%20excel\01%20Fecu%20AA%204T23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V%20Trimestre\03%20An&#225;lisis%20Razonado\AA\Tablas%20an&#225;lisis%20razonado%20AA_4T23.xlsx" TargetMode="External"/><Relationship Id="rId1" Type="http://schemas.openxmlformats.org/officeDocument/2006/relationships/externalLinkPath" Target="file:///\\Srvnas\00_gci\E&#176;F&#176;\2023\IV%20Trimestre\03%20An&#225;lisis%20Razonado\AA\Tablas%20an&#225;lisis%20razonado%20AA_4T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disco04\Sistema%20de%20Consolidacion\SISTEMA-CONSOLIDACION\FECU%20%20IFRS\FECUS%20A&#209;O%202023\4%20Diciembre%202023\02%20Analisis%20Razonado\Tablas%20an&#225;lisis%20razonado%20IAM_122023_PAS.xlsx" TargetMode="External"/><Relationship Id="rId1" Type="http://schemas.openxmlformats.org/officeDocument/2006/relationships/externalLinkPath" Target="/SISTEMA-CONSOLIDACION/FECU%20%20IFRS/FECUS%20A&#209;O%202023/4%20Diciembre%202023/02%20Analisis%20Razonado/Tablas%20an&#225;lisis%20razonado%20IAM_122023_PA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disco04\Sistema%20de%20Consolidacion\SISTEMA-CONSOLIDACION\FECU%20%20IFRS\FECUS%20A&#209;O%202022\4.Dic-2022\AR%20IAM\Tablas%20an&#225;lisis%20razonado%20IAM_4T22%20VF.xlsx" TargetMode="External"/><Relationship Id="rId1" Type="http://schemas.openxmlformats.org/officeDocument/2006/relationships/externalLinkPath" Target="/SISTEMA-CONSOLIDACION/FECU%20%20IFRS/FECUS%20A&#209;O%202022/4.Dic-2022/AR%20IAM/Tablas%20an&#225;lisis%20razonado%20IAM_4T22%20VF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disco04\Sistema%20de%20Consolidacion\SISTEMA-CONSOLIDACION\FECU%20%20IFRS\FECUS%20A&#209;O%202024\3%20Septiembre%202024\Nota%20Fecu%20IAM%203T2024_Septiembre_DA.xlsx" TargetMode="External"/><Relationship Id="rId1" Type="http://schemas.openxmlformats.org/officeDocument/2006/relationships/externalLinkPath" Target="/SISTEMA-CONSOLIDACION/FECU%20%20IFRS/FECUS%20A&#209;O%202024/3%20Septiembre%202024/Nota%20Fecu%20IAM%203T2024_Septiembre_D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I%20Trimestre\01%20Estados%20Financieros\Word%20y%20Cuadros\01%20Fecu%20AA%203T19%20v-0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disco04\Sistema%20de%20Consolidacion\SISTEMA-CONSOLIDACION\FECU%20%20IFRS\FECUS%20A&#209;O%202024\2%20Junio%202024\Fecu%20IAM%202T2024_23_07_24_v1_pato.xlsx" TargetMode="External"/><Relationship Id="rId1" Type="http://schemas.openxmlformats.org/officeDocument/2006/relationships/externalLinkPath" Target="/SISTEMA-CONSOLIDACION/FECU%20%20IFRS/FECUS%20A&#209;O%202024/2%20Junio%202024/Fecu%20IAM%202T2024_23_07_24_v1_p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Diciembre 2023"/>
      <sheetName val="Bce Diciembre 2023"/>
      <sheetName val="Resultado Diciembre 2022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N6 CxC CxP Relacionadas"/>
      <sheetName val="Perdidas de valor"/>
      <sheetName val="N16.6 Derivados"/>
      <sheetName val="CovenantAA"/>
      <sheetName val="CovenantAC"/>
      <sheetName val="notas resultado"/>
      <sheetName val="Hoja1"/>
      <sheetName val="N23 Perdidas de valor"/>
      <sheetName val="Estado de Flujo IAM Conso"/>
    </sheetNames>
    <sheetDataSet>
      <sheetData sheetId="0"/>
      <sheetData sheetId="1"/>
      <sheetData sheetId="2"/>
      <sheetData sheetId="3"/>
      <sheetData sheetId="4">
        <row r="5">
          <cell r="D5">
            <v>110795410</v>
          </cell>
        </row>
      </sheetData>
      <sheetData sheetId="5">
        <row r="5">
          <cell r="D5">
            <v>155416801</v>
          </cell>
        </row>
      </sheetData>
      <sheetData sheetId="6">
        <row r="4">
          <cell r="D4">
            <v>640885886</v>
          </cell>
        </row>
        <row r="20">
          <cell r="D20">
            <v>0</v>
          </cell>
          <cell r="E20">
            <v>0</v>
          </cell>
        </row>
      </sheetData>
      <sheetData sheetId="7">
        <row r="5">
          <cell r="D5">
            <v>735405398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Septiembre 2023"/>
      <sheetName val="Bce Septiembre 2023"/>
      <sheetName val="Resultado Septiembre 2022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N6 CxC CxP Relacionadas"/>
      <sheetName val="Perdidas de valor"/>
      <sheetName val="N16.6 Derivados"/>
      <sheetName val="CovenantAA"/>
      <sheetName val="CovenantAC"/>
      <sheetName val="notas resultado"/>
      <sheetName val="Hoja1"/>
      <sheetName val="N23 Perdidas de valor"/>
      <sheetName val="Estado de Flujo efectivoAA"/>
    </sheetNames>
    <sheetDataSet>
      <sheetData sheetId="0"/>
      <sheetData sheetId="1"/>
      <sheetData sheetId="2"/>
      <sheetData sheetId="3"/>
      <sheetData sheetId="4">
        <row r="5">
          <cell r="D5">
            <v>147766964</v>
          </cell>
        </row>
      </sheetData>
      <sheetData sheetId="5">
        <row r="5">
          <cell r="D5">
            <v>160304321</v>
          </cell>
        </row>
      </sheetData>
      <sheetData sheetId="6">
        <row r="4">
          <cell r="D4">
            <v>475235519</v>
          </cell>
        </row>
      </sheetData>
      <sheetData sheetId="7">
        <row r="5">
          <cell r="D5">
            <v>562603049</v>
          </cell>
        </row>
      </sheetData>
      <sheetData sheetId="8"/>
      <sheetData sheetId="9"/>
      <sheetData sheetId="10"/>
      <sheetData sheetId="11"/>
      <sheetData sheetId="12"/>
      <sheetData sheetId="13">
        <row r="12">
          <cell r="C12">
            <v>114423709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2">
          <cell r="E22">
            <v>108254535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3">
          <cell r="G53">
            <v>132569413</v>
          </cell>
        </row>
        <row r="57">
          <cell r="G57">
            <v>-83724513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e Diciembre 2023"/>
      <sheetName val="Resultado Septiembre 2023"/>
      <sheetName val="Balance Septiembre 2024"/>
      <sheetName val="Resultado Septiembre 2024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0 Otros Activos Finan"/>
      <sheetName val="N11 Otros Activos No Fin"/>
      <sheetName val="N12 Intangibles"/>
      <sheetName val="N13 Plusvalía"/>
      <sheetName val="N14 PPE"/>
      <sheetName val="N14 Arrendamiento NIIF16"/>
      <sheetName val="IFRS 16"/>
      <sheetName val="N14 Adicional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16.6Derivados"/>
      <sheetName val="N17,5 Flujos de financiamiento"/>
      <sheetName val="N17 Acreed. Comerciales"/>
      <sheetName val="N17.1 Acreed. Comerc. por Venc."/>
      <sheetName val="N18 Otras Prov."/>
      <sheetName val="N19 Beneficios Empleados"/>
      <sheetName val="N21 Pas. No Financiero"/>
      <sheetName val="N23 Partic. No Controladoras"/>
      <sheetName val="Nota 24 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CovenantAA"/>
      <sheetName val="CovenantAC"/>
      <sheetName val="N6 CxC CxP Relacionadas"/>
      <sheetName val="notas resultado"/>
      <sheetName val="Hoja1"/>
      <sheetName val="Estado de Flujo IAM Conso"/>
    </sheetNames>
    <sheetDataSet>
      <sheetData sheetId="0"/>
      <sheetData sheetId="1"/>
      <sheetData sheetId="2"/>
      <sheetData sheetId="3"/>
      <sheetData sheetId="4">
        <row r="2">
          <cell r="B2" t="str">
            <v>ACTIVOS</v>
          </cell>
          <cell r="C2" t="str">
            <v>Nota</v>
          </cell>
          <cell r="D2">
            <v>45565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ACTIVOS CORRIENTES</v>
          </cell>
        </row>
        <row r="5">
          <cell r="B5" t="str">
            <v>Efectivo y equivalentes al efectivo</v>
          </cell>
          <cell r="C5">
            <v>4</v>
          </cell>
          <cell r="D5">
            <v>76497474</v>
          </cell>
          <cell r="E5">
            <v>110795410</v>
          </cell>
        </row>
        <row r="6">
          <cell r="B6" t="str">
            <v>Otros activos financieros</v>
          </cell>
          <cell r="C6">
            <v>10</v>
          </cell>
          <cell r="D6">
            <v>6893234</v>
          </cell>
          <cell r="E6">
            <v>0</v>
          </cell>
        </row>
        <row r="7">
          <cell r="B7" t="str">
            <v>Otros activos no financieros</v>
          </cell>
          <cell r="C7">
            <v>11</v>
          </cell>
          <cell r="D7">
            <v>4537051</v>
          </cell>
          <cell r="E7">
            <v>7180555</v>
          </cell>
        </row>
        <row r="8">
          <cell r="B8" t="str">
            <v>Deudores comerciales y otras cuentas por cobrar,</v>
          </cell>
          <cell r="C8">
            <v>5</v>
          </cell>
          <cell r="D8">
            <v>116517448</v>
          </cell>
          <cell r="E8">
            <v>132009297</v>
          </cell>
        </row>
        <row r="9">
          <cell r="B9" t="str">
            <v>Cuentas por cobrar a entidades relacionadas</v>
          </cell>
          <cell r="C9">
            <v>6</v>
          </cell>
          <cell r="D9">
            <v>15152</v>
          </cell>
          <cell r="E9">
            <v>14381</v>
          </cell>
        </row>
        <row r="10">
          <cell r="B10" t="str">
            <v>Inventarios</v>
          </cell>
          <cell r="C10">
            <v>7</v>
          </cell>
          <cell r="D10">
            <v>12004728</v>
          </cell>
          <cell r="E10">
            <v>12812483</v>
          </cell>
        </row>
        <row r="11">
          <cell r="B11" t="str">
            <v>Activos por impuestos corrientes</v>
          </cell>
          <cell r="C11">
            <v>8</v>
          </cell>
          <cell r="D11">
            <v>9671759</v>
          </cell>
          <cell r="E11">
            <v>13965510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D12">
            <v>226136846</v>
          </cell>
          <cell r="E12">
            <v>276777636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0</v>
          </cell>
          <cell r="E13">
            <v>3414</v>
          </cell>
        </row>
        <row r="14">
          <cell r="B14" t="str">
            <v>ACTIVOS CORRIENTES TOTALES</v>
          </cell>
          <cell r="D14">
            <v>226136846</v>
          </cell>
          <cell r="E14">
            <v>276781050</v>
          </cell>
        </row>
        <row r="15">
          <cell r="B15" t="str">
            <v>ACTIVOS NO CORRIENTES</v>
          </cell>
        </row>
        <row r="16">
          <cell r="B16" t="str">
            <v>Otros activos financieros</v>
          </cell>
          <cell r="C16">
            <v>10</v>
          </cell>
          <cell r="D16">
            <v>8254287</v>
          </cell>
          <cell r="E16">
            <v>7895863</v>
          </cell>
        </row>
        <row r="17">
          <cell r="B17" t="str">
            <v>Otros activos no financieros</v>
          </cell>
          <cell r="C17">
            <v>11</v>
          </cell>
          <cell r="D17">
            <v>3598840</v>
          </cell>
          <cell r="E17">
            <v>1481897</v>
          </cell>
        </row>
        <row r="18">
          <cell r="B18" t="str">
            <v>Derechos por cobrar</v>
          </cell>
          <cell r="C18">
            <v>5</v>
          </cell>
          <cell r="D18">
            <v>3766684</v>
          </cell>
          <cell r="E18">
            <v>3778724</v>
          </cell>
        </row>
        <row r="19">
          <cell r="B19" t="str">
            <v>Inversiones contabilizadas utilizando el método de la partic</v>
          </cell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12</v>
          </cell>
          <cell r="D20">
            <v>229403863</v>
          </cell>
          <cell r="E20">
            <v>231747713</v>
          </cell>
        </row>
        <row r="21">
          <cell r="B21" t="str">
            <v>Plusvalia</v>
          </cell>
          <cell r="C21">
            <v>13</v>
          </cell>
          <cell r="D21">
            <v>305171468</v>
          </cell>
          <cell r="E21">
            <v>305171468</v>
          </cell>
        </row>
        <row r="22">
          <cell r="B22" t="str">
            <v>Propiedades, plantas y equipos</v>
          </cell>
          <cell r="C22">
            <v>14</v>
          </cell>
          <cell r="D22">
            <v>1845573943</v>
          </cell>
          <cell r="E22">
            <v>1805370932</v>
          </cell>
        </row>
        <row r="23">
          <cell r="B23" t="str">
            <v>Activos por derecho de uso</v>
          </cell>
          <cell r="C23">
            <v>14</v>
          </cell>
          <cell r="D23">
            <v>3805891</v>
          </cell>
          <cell r="E23">
            <v>4310355</v>
          </cell>
        </row>
        <row r="24">
          <cell r="B24" t="str">
            <v>Activos por impuestos diferidos</v>
          </cell>
          <cell r="C24">
            <v>16</v>
          </cell>
          <cell r="D24">
            <v>64109903</v>
          </cell>
          <cell r="E24">
            <v>59938069</v>
          </cell>
        </row>
        <row r="25">
          <cell r="B25" t="str">
            <v>Cuentas por cobrar a entidades relacionadas</v>
          </cell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D26">
            <v>2463684879</v>
          </cell>
          <cell r="E26">
            <v>2419695021</v>
          </cell>
        </row>
        <row r="28">
          <cell r="B28" t="str">
            <v>TOTAL DE ACTIVOS</v>
          </cell>
          <cell r="D28">
            <v>2689821725</v>
          </cell>
          <cell r="E28">
            <v>2696476071</v>
          </cell>
        </row>
      </sheetData>
      <sheetData sheetId="5">
        <row r="2">
          <cell r="B2" t="str">
            <v>PASIVOS</v>
          </cell>
          <cell r="C2" t="str">
            <v>Nota</v>
          </cell>
          <cell r="D2">
            <v>45565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PASIVOS CORRIENTES</v>
          </cell>
        </row>
        <row r="5">
          <cell r="B5" t="str">
            <v xml:space="preserve">Otros pasivos financieros </v>
          </cell>
          <cell r="C5">
            <v>17</v>
          </cell>
          <cell r="D5">
            <v>89431188</v>
          </cell>
          <cell r="E5">
            <v>155416801</v>
          </cell>
        </row>
        <row r="6">
          <cell r="B6" t="str">
            <v>Pasivos por arrendamientos</v>
          </cell>
          <cell r="C6">
            <v>15</v>
          </cell>
          <cell r="D6">
            <v>1755467</v>
          </cell>
          <cell r="E6">
            <v>1756478</v>
          </cell>
        </row>
        <row r="7">
          <cell r="B7" t="str">
            <v>Cuentas por pagar comerciales y otras cuentas por pagar</v>
          </cell>
          <cell r="C7">
            <v>18</v>
          </cell>
          <cell r="D7">
            <v>138141927</v>
          </cell>
          <cell r="E7">
            <v>177869738</v>
          </cell>
        </row>
        <row r="8">
          <cell r="B8" t="str">
            <v>Cuentas por pagar a entidades relacionadas</v>
          </cell>
          <cell r="C8">
            <v>6</v>
          </cell>
          <cell r="D8">
            <v>1217734</v>
          </cell>
          <cell r="E8">
            <v>1583500</v>
          </cell>
        </row>
        <row r="9">
          <cell r="B9" t="str">
            <v>Otras provisiones</v>
          </cell>
          <cell r="C9">
            <v>19</v>
          </cell>
          <cell r="D9">
            <v>790902</v>
          </cell>
          <cell r="E9">
            <v>735780</v>
          </cell>
        </row>
        <row r="10">
          <cell r="B10" t="str">
            <v>Pasivos por impuestos</v>
          </cell>
          <cell r="C10">
            <v>8</v>
          </cell>
          <cell r="D10">
            <v>422762</v>
          </cell>
          <cell r="E10">
            <v>245000</v>
          </cell>
        </row>
        <row r="11">
          <cell r="B11" t="str">
            <v>Provisiones corrientes por beneficios a los empleados</v>
          </cell>
          <cell r="C11">
            <v>20</v>
          </cell>
          <cell r="D11">
            <v>5414499</v>
          </cell>
          <cell r="E11">
            <v>5985824</v>
          </cell>
        </row>
        <row r="12">
          <cell r="B12" t="str">
            <v>Otros pasivos no financieros</v>
          </cell>
          <cell r="C12">
            <v>21</v>
          </cell>
          <cell r="D12">
            <v>13524733</v>
          </cell>
          <cell r="E12">
            <v>19041225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D13">
            <v>250699210</v>
          </cell>
          <cell r="E13">
            <v>362634346</v>
          </cell>
        </row>
        <row r="14">
          <cell r="B14" t="str">
            <v>Pasivos incluidos en grupos de activos para su disposición clasificados como mantenidos para la venta</v>
          </cell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D15">
            <v>250699210</v>
          </cell>
          <cell r="E15">
            <v>362634346</v>
          </cell>
        </row>
        <row r="16">
          <cell r="B16" t="str">
            <v>PASIVOS NO CORRIENTES</v>
          </cell>
        </row>
        <row r="17">
          <cell r="B17" t="str">
            <v>Otros pasivos financieros</v>
          </cell>
          <cell r="C17">
            <v>17</v>
          </cell>
          <cell r="D17">
            <v>1230124282</v>
          </cell>
          <cell r="E17">
            <v>1125060897</v>
          </cell>
        </row>
        <row r="18">
          <cell r="B18" t="str">
            <v>Pasivos por arrendamientos</v>
          </cell>
          <cell r="C18">
            <v>15</v>
          </cell>
          <cell r="D18">
            <v>2291022</v>
          </cell>
          <cell r="E18">
            <v>2762179</v>
          </cell>
        </row>
        <row r="19">
          <cell r="B19" t="str">
            <v>Otras cuentas por pagar</v>
          </cell>
          <cell r="C19">
            <v>18</v>
          </cell>
          <cell r="D19">
            <v>1386972</v>
          </cell>
          <cell r="E19">
            <v>1181871</v>
          </cell>
        </row>
        <row r="20">
          <cell r="B20" t="str">
            <v>Cuentas por pagar a entidades relacionadas</v>
          </cell>
          <cell r="D20">
            <v>0</v>
          </cell>
          <cell r="E20">
            <v>0</v>
          </cell>
        </row>
        <row r="21">
          <cell r="B21" t="str">
            <v>Otras provisiones</v>
          </cell>
          <cell r="C21">
            <v>19</v>
          </cell>
          <cell r="D21">
            <v>1881981</v>
          </cell>
          <cell r="E21">
            <v>1823379</v>
          </cell>
        </row>
        <row r="22">
          <cell r="B22" t="str">
            <v>Pasivo por impuestos diferidos</v>
          </cell>
          <cell r="C22">
            <v>16</v>
          </cell>
          <cell r="D22">
            <v>15053198</v>
          </cell>
          <cell r="E22">
            <v>15207944</v>
          </cell>
        </row>
        <row r="23">
          <cell r="B23" t="str">
            <v>Provisiones no corrientes por beneficios a los empleados</v>
          </cell>
          <cell r="C23">
            <v>20</v>
          </cell>
          <cell r="D23">
            <v>22906413</v>
          </cell>
          <cell r="E23">
            <v>22322555</v>
          </cell>
        </row>
        <row r="24">
          <cell r="B24" t="str">
            <v>Otros pasivos no financieros</v>
          </cell>
          <cell r="C24">
            <v>21</v>
          </cell>
          <cell r="D24">
            <v>7923297</v>
          </cell>
          <cell r="E24">
            <v>7454642</v>
          </cell>
        </row>
        <row r="25">
          <cell r="B25" t="str">
            <v>TOTAL DE PASIVOS NO CORRIENTES</v>
          </cell>
          <cell r="D25">
            <v>1281567165</v>
          </cell>
          <cell r="E25">
            <v>1175813467</v>
          </cell>
        </row>
        <row r="27">
          <cell r="B27" t="str">
            <v>TOTAL PASIVOS</v>
          </cell>
          <cell r="D27">
            <v>1532266375</v>
          </cell>
          <cell r="E27">
            <v>1538447813</v>
          </cell>
        </row>
        <row r="28">
          <cell r="B28" t="str">
            <v>PATRIMONIO</v>
          </cell>
        </row>
        <row r="29">
          <cell r="B29" t="str">
            <v>Capital Emitido</v>
          </cell>
          <cell r="C29">
            <v>22</v>
          </cell>
          <cell r="D29">
            <v>468358402</v>
          </cell>
          <cell r="E29">
            <v>468358402</v>
          </cell>
        </row>
        <row r="30">
          <cell r="B30" t="str">
            <v>Ganancias (perdidas) acumuladas</v>
          </cell>
          <cell r="C30">
            <v>22</v>
          </cell>
          <cell r="D30">
            <v>205363086.88104901</v>
          </cell>
          <cell r="E30">
            <v>203895643.88104901</v>
          </cell>
        </row>
        <row r="31">
          <cell r="B31" t="str">
            <v>Primas de emision</v>
          </cell>
          <cell r="C31">
            <v>21</v>
          </cell>
          <cell r="D31">
            <v>0</v>
          </cell>
          <cell r="E31">
            <v>0</v>
          </cell>
        </row>
        <row r="32">
          <cell r="B32" t="str">
            <v>Otras participaciones en el patrimonio</v>
          </cell>
          <cell r="C32">
            <v>22</v>
          </cell>
          <cell r="D32">
            <v>-37268415</v>
          </cell>
          <cell r="E32">
            <v>-37268415</v>
          </cell>
        </row>
        <row r="33">
          <cell r="B33" t="str">
            <v>Otras reservas</v>
          </cell>
          <cell r="C33">
            <v>22</v>
          </cell>
          <cell r="D33">
            <v>79175010.920060396</v>
          </cell>
          <cell r="E33">
            <v>80864058.224631608</v>
          </cell>
        </row>
        <row r="34">
          <cell r="B34" t="str">
            <v>Patrimonio atribuible a los propietarios de la controladora</v>
          </cell>
          <cell r="D34">
            <v>715628084.80110943</v>
          </cell>
          <cell r="E34">
            <v>715849689.1056807</v>
          </cell>
        </row>
        <row r="35">
          <cell r="B35" t="str">
            <v>Participaciones no controladoras</v>
          </cell>
          <cell r="C35">
            <v>23</v>
          </cell>
          <cell r="D35">
            <v>441927263</v>
          </cell>
          <cell r="E35">
            <v>442178569</v>
          </cell>
        </row>
        <row r="36">
          <cell r="B36" t="str">
            <v xml:space="preserve">PATRIMONIO TOTAL </v>
          </cell>
          <cell r="D36">
            <v>1157555347.8011093</v>
          </cell>
          <cell r="E36">
            <v>1158028258.1056807</v>
          </cell>
        </row>
        <row r="38">
          <cell r="B38" t="str">
            <v>TOTAL DE PATRIMONIO Y PASIVOS</v>
          </cell>
          <cell r="D38">
            <v>2689821722.8011093</v>
          </cell>
          <cell r="E38">
            <v>2696476071.1056805</v>
          </cell>
        </row>
      </sheetData>
      <sheetData sheetId="6">
        <row r="4">
          <cell r="D4">
            <v>483042204</v>
          </cell>
          <cell r="E4">
            <v>475235519</v>
          </cell>
          <cell r="F4">
            <v>143355594</v>
          </cell>
          <cell r="G4">
            <v>138426249</v>
          </cell>
        </row>
        <row r="5">
          <cell r="D5">
            <v>-61764849</v>
          </cell>
          <cell r="E5">
            <v>-68296428</v>
          </cell>
          <cell r="F5">
            <v>-20594412</v>
          </cell>
          <cell r="G5">
            <v>-20051992</v>
          </cell>
        </row>
        <row r="6">
          <cell r="D6">
            <v>-60905888</v>
          </cell>
          <cell r="E6">
            <v>-55865906</v>
          </cell>
          <cell r="F6">
            <v>-20777145</v>
          </cell>
          <cell r="G6">
            <v>-18985046</v>
          </cell>
        </row>
        <row r="7">
          <cell r="D7">
            <v>-60804243</v>
          </cell>
          <cell r="E7">
            <v>-56574217</v>
          </cell>
          <cell r="F7">
            <v>-20222286</v>
          </cell>
          <cell r="G7">
            <v>-19266471</v>
          </cell>
        </row>
        <row r="8">
          <cell r="D8">
            <v>-120284220</v>
          </cell>
          <cell r="E8">
            <v>-110473443</v>
          </cell>
          <cell r="F8">
            <v>-43625781</v>
          </cell>
          <cell r="G8">
            <v>-37684608</v>
          </cell>
        </row>
        <row r="9">
          <cell r="D9">
            <v>2237091</v>
          </cell>
          <cell r="E9">
            <v>-1774124</v>
          </cell>
          <cell r="F9">
            <v>-267717</v>
          </cell>
          <cell r="G9">
            <v>117193</v>
          </cell>
        </row>
        <row r="11">
          <cell r="D11">
            <v>7660824</v>
          </cell>
          <cell r="E11">
            <v>12898623</v>
          </cell>
          <cell r="F11">
            <v>2658538</v>
          </cell>
          <cell r="G11">
            <v>2246465</v>
          </cell>
        </row>
        <row r="12">
          <cell r="D12">
            <v>-37240845</v>
          </cell>
          <cell r="E12">
            <v>-36684053</v>
          </cell>
          <cell r="F12">
            <v>-13301533</v>
          </cell>
          <cell r="G12">
            <v>-12416291</v>
          </cell>
        </row>
        <row r="13">
          <cell r="D13">
            <v>-6550791</v>
          </cell>
          <cell r="E13">
            <v>-10816911</v>
          </cell>
          <cell r="F13">
            <v>36709</v>
          </cell>
          <cell r="G13">
            <v>-2630571</v>
          </cell>
        </row>
        <row r="14">
          <cell r="D14">
            <v>268012</v>
          </cell>
          <cell r="E14">
            <v>2514886</v>
          </cell>
          <cell r="F14">
            <v>-197664</v>
          </cell>
          <cell r="G14">
            <v>2013552</v>
          </cell>
        </row>
        <row r="15">
          <cell r="D15">
            <v>-31383348</v>
          </cell>
          <cell r="E15">
            <v>-29887119</v>
          </cell>
          <cell r="F15">
            <v>-9916852</v>
          </cell>
          <cell r="G15">
            <v>-3125558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8">
          <cell r="D18">
            <v>-24335533</v>
          </cell>
          <cell r="E18">
            <v>-25131820</v>
          </cell>
          <cell r="F18">
            <v>-2617036</v>
          </cell>
          <cell r="G18">
            <v>-7166643</v>
          </cell>
        </row>
        <row r="25">
          <cell r="D25">
            <v>45608960</v>
          </cell>
          <cell r="E25">
            <v>48143697</v>
          </cell>
          <cell r="F25">
            <v>7432490</v>
          </cell>
          <cell r="G25">
            <v>11007287</v>
          </cell>
        </row>
      </sheetData>
      <sheetData sheetId="7">
        <row r="5">
          <cell r="D5">
            <v>579308070</v>
          </cell>
        </row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  <row r="9">
          <cell r="D9">
            <v>4195632</v>
          </cell>
        </row>
        <row r="11">
          <cell r="D11">
            <v>-216134462</v>
          </cell>
        </row>
        <row r="12">
          <cell r="D12">
            <v>0</v>
          </cell>
          <cell r="E12">
            <v>0</v>
          </cell>
        </row>
        <row r="13">
          <cell r="D13">
            <v>-57286375</v>
          </cell>
        </row>
        <row r="15">
          <cell r="D15">
            <v>-45580507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-29541220</v>
          </cell>
        </row>
        <row r="20">
          <cell r="D20">
            <v>4747284</v>
          </cell>
        </row>
        <row r="21">
          <cell r="D21">
            <v>-22640129</v>
          </cell>
        </row>
        <row r="22">
          <cell r="D22">
            <v>-15344007</v>
          </cell>
        </row>
        <row r="26">
          <cell r="D26">
            <v>0</v>
          </cell>
          <cell r="E26">
            <v>0</v>
          </cell>
        </row>
        <row r="33">
          <cell r="D33">
            <v>4056384</v>
          </cell>
        </row>
        <row r="34">
          <cell r="D34">
            <v>-142673331</v>
          </cell>
        </row>
        <row r="35">
          <cell r="D35">
            <v>0</v>
          </cell>
          <cell r="E35">
            <v>0</v>
          </cell>
        </row>
        <row r="36">
          <cell r="D36">
            <v>-2856262</v>
          </cell>
        </row>
        <row r="37">
          <cell r="D37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D54">
            <v>141124217</v>
          </cell>
        </row>
        <row r="55">
          <cell r="D55">
            <v>0</v>
          </cell>
          <cell r="E55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-145472405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-88602504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-1598321</v>
          </cell>
          <cell r="E65">
            <v>0</v>
          </cell>
        </row>
        <row r="72">
          <cell r="D72">
            <v>110795410</v>
          </cell>
          <cell r="E72">
            <v>180545867</v>
          </cell>
        </row>
      </sheetData>
      <sheetData sheetId="8">
        <row r="5">
          <cell r="G5">
            <v>203895643.88104901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3">
          <cell r="E23">
            <v>49977601</v>
          </cell>
        </row>
        <row r="24">
          <cell r="E24">
            <v>16901986</v>
          </cell>
        </row>
        <row r="25">
          <cell r="E25">
            <v>242734</v>
          </cell>
        </row>
        <row r="26">
          <cell r="E26">
            <v>160126</v>
          </cell>
        </row>
        <row r="27">
          <cell r="E27">
            <v>231284</v>
          </cell>
        </row>
        <row r="28">
          <cell r="E28">
            <v>21250186</v>
          </cell>
        </row>
        <row r="29">
          <cell r="E29">
            <v>667271</v>
          </cell>
        </row>
        <row r="31">
          <cell r="E31">
            <v>1755467</v>
          </cell>
        </row>
        <row r="44">
          <cell r="E44">
            <v>123878907</v>
          </cell>
        </row>
        <row r="45">
          <cell r="E45">
            <v>802512562</v>
          </cell>
        </row>
        <row r="46">
          <cell r="E46">
            <v>12202043</v>
          </cell>
        </row>
        <row r="47">
          <cell r="E47">
            <v>30751678</v>
          </cell>
        </row>
        <row r="48">
          <cell r="E48">
            <v>105658714</v>
          </cell>
        </row>
        <row r="49">
          <cell r="E49">
            <v>147329758</v>
          </cell>
        </row>
        <row r="50">
          <cell r="E50">
            <v>7790620</v>
          </cell>
        </row>
        <row r="52">
          <cell r="E52">
            <v>2291022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C6">
            <v>453022525</v>
          </cell>
          <cell r="D6">
            <v>30019679</v>
          </cell>
          <cell r="E6">
            <v>447420641</v>
          </cell>
          <cell r="F6">
            <v>27814878</v>
          </cell>
        </row>
        <row r="7">
          <cell r="C7">
            <v>1135131</v>
          </cell>
          <cell r="D7">
            <v>9839174</v>
          </cell>
          <cell r="E7">
            <v>1149724</v>
          </cell>
          <cell r="F7">
            <v>8441921</v>
          </cell>
        </row>
        <row r="9">
          <cell r="C9">
            <v>-51671381</v>
          </cell>
          <cell r="D9">
            <v>-10567213</v>
          </cell>
          <cell r="E9">
            <v>-59642176</v>
          </cell>
          <cell r="F9">
            <v>-9728485</v>
          </cell>
        </row>
        <row r="10">
          <cell r="C10">
            <v>-49606237</v>
          </cell>
          <cell r="D10">
            <v>-11057422</v>
          </cell>
          <cell r="E10">
            <v>-45984809</v>
          </cell>
          <cell r="F10">
            <v>-9651680</v>
          </cell>
        </row>
        <row r="11">
          <cell r="C11">
            <v>-118692601</v>
          </cell>
          <cell r="D11">
            <v>-10836671</v>
          </cell>
          <cell r="E11">
            <v>-104895601</v>
          </cell>
          <cell r="F11">
            <v>-10397837</v>
          </cell>
        </row>
        <row r="12">
          <cell r="C12">
            <v>-58984360</v>
          </cell>
          <cell r="D12">
            <v>-1814289</v>
          </cell>
          <cell r="E12">
            <v>-54836791</v>
          </cell>
          <cell r="F12">
            <v>-1731402</v>
          </cell>
        </row>
        <row r="13">
          <cell r="C13">
            <v>1587533</v>
          </cell>
          <cell r="D13">
            <v>649560</v>
          </cell>
          <cell r="E13">
            <v>-1539315</v>
          </cell>
          <cell r="F13">
            <v>-234809</v>
          </cell>
        </row>
        <row r="14">
          <cell r="C14">
            <v>7627301</v>
          </cell>
          <cell r="D14">
            <v>171112</v>
          </cell>
          <cell r="E14">
            <v>12642822</v>
          </cell>
          <cell r="F14">
            <v>255801</v>
          </cell>
        </row>
        <row r="15">
          <cell r="C15">
            <v>-37099988</v>
          </cell>
          <cell r="D15">
            <v>-326377</v>
          </cell>
          <cell r="E15">
            <v>-35979653</v>
          </cell>
          <cell r="F15">
            <v>-700752</v>
          </cell>
        </row>
        <row r="16">
          <cell r="C16">
            <v>-6537404</v>
          </cell>
          <cell r="D16">
            <v>-13387</v>
          </cell>
          <cell r="E16">
            <v>-10878746</v>
          </cell>
          <cell r="F16">
            <v>61835</v>
          </cell>
        </row>
        <row r="17">
          <cell r="C17">
            <v>-31153550</v>
          </cell>
          <cell r="D17">
            <v>41349</v>
          </cell>
          <cell r="E17">
            <v>-29885094</v>
          </cell>
          <cell r="F17">
            <v>-1360</v>
          </cell>
        </row>
        <row r="19">
          <cell r="C19">
            <v>-22937804</v>
          </cell>
          <cell r="D19">
            <v>-1391121</v>
          </cell>
          <cell r="E19">
            <v>-24224075</v>
          </cell>
          <cell r="F19">
            <v>-991412</v>
          </cell>
        </row>
        <row r="22">
          <cell r="C22">
            <v>1443</v>
          </cell>
          <cell r="E22">
            <v>1249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Dic 2022"/>
      <sheetName val="Balance Dic 2023"/>
      <sheetName val="Resultado Dic 2023"/>
      <sheetName val="Activo"/>
      <sheetName val="Pasivo"/>
      <sheetName val="Resultado"/>
      <sheetName val="Flujo"/>
      <sheetName val="Cambio Patrimonio"/>
      <sheetName val="N2.1 Pronunciamientos 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N14.2 IFRS 16"/>
      <sheetName val="Nota 14 Adic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6.6 Derivados"/>
      <sheetName val="N17 Acreed. Comerciales"/>
      <sheetName val="N17.1 Acreed. Comerc. por Venc."/>
      <sheetName val="N18 Otras Prov."/>
      <sheetName val="N19 Beneficios Empleados"/>
      <sheetName val="N20 Pas. No Financiero"/>
      <sheetName val="N21 Partic. No Controladoras"/>
      <sheetName val="N23 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3 Garantías y Rest."/>
      <sheetName val="N35 Costos finan. Capital."/>
      <sheetName val="N36 Medio ambiente"/>
      <sheetName val="N6 CxC CxP Relacionadas"/>
      <sheetName val="CovenantAA"/>
      <sheetName val="Covenant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22">
          <cell r="E22">
            <v>107083857</v>
          </cell>
        </row>
        <row r="27">
          <cell r="E27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>AFRs</v>
          </cell>
          <cell r="F13" t="str">
            <v>Fija</v>
          </cell>
          <cell r="H13">
            <v>1176054590</v>
          </cell>
        </row>
        <row r="14">
          <cell r="F14" t="str">
            <v>Variable</v>
          </cell>
          <cell r="H14">
            <v>108938199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Análisis de gastos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E6">
            <v>326058264</v>
          </cell>
        </row>
        <row r="7">
          <cell r="E7">
            <v>2325871931</v>
          </cell>
        </row>
        <row r="10">
          <cell r="E10">
            <v>266626154</v>
          </cell>
        </row>
        <row r="11">
          <cell r="E11">
            <v>1274907748</v>
          </cell>
        </row>
        <row r="12">
          <cell r="E12">
            <v>418601845</v>
          </cell>
        </row>
        <row r="13">
          <cell r="E13">
            <v>691794448</v>
          </cell>
        </row>
        <row r="18">
          <cell r="D18">
            <v>640855854</v>
          </cell>
        </row>
        <row r="19">
          <cell r="D19">
            <v>389534004</v>
          </cell>
        </row>
        <row r="20">
          <cell r="D20">
            <v>165724056</v>
          </cell>
        </row>
        <row r="21">
          <cell r="D21">
            <v>-48853914</v>
          </cell>
        </row>
        <row r="22">
          <cell r="D22">
            <v>159153862</v>
          </cell>
        </row>
        <row r="23">
          <cell r="D23">
            <v>65277259</v>
          </cell>
        </row>
        <row r="24">
          <cell r="D24">
            <v>-33886203</v>
          </cell>
        </row>
        <row r="25">
          <cell r="D25">
            <v>-77697080</v>
          </cell>
        </row>
        <row r="28">
          <cell r="D28">
            <v>227922765</v>
          </cell>
        </row>
        <row r="29">
          <cell r="D29">
            <v>-150002292</v>
          </cell>
        </row>
        <row r="30">
          <cell r="D30">
            <v>-147670931</v>
          </cell>
        </row>
        <row r="31">
          <cell r="D31">
            <v>-69750458</v>
          </cell>
        </row>
        <row r="32">
          <cell r="D32">
            <v>180545868</v>
          </cell>
        </row>
        <row r="39">
          <cell r="J39">
            <v>65277259</v>
          </cell>
        </row>
        <row r="40">
          <cell r="J40">
            <v>703822069</v>
          </cell>
        </row>
        <row r="43">
          <cell r="J43">
            <v>65277259</v>
          </cell>
        </row>
        <row r="44">
          <cell r="J44">
            <v>2674203133</v>
          </cell>
        </row>
        <row r="50">
          <cell r="J50">
            <v>43.27843</v>
          </cell>
        </row>
        <row r="51">
          <cell r="C51">
            <v>640855854</v>
          </cell>
        </row>
        <row r="52">
          <cell r="C52">
            <v>-85362422</v>
          </cell>
        </row>
        <row r="53">
          <cell r="C53">
            <v>-76753766</v>
          </cell>
        </row>
        <row r="54">
          <cell r="C54">
            <v>-77697080</v>
          </cell>
        </row>
        <row r="55">
          <cell r="C55">
            <v>0</v>
          </cell>
        </row>
        <row r="56">
          <cell r="C56">
            <v>-149720736</v>
          </cell>
        </row>
        <row r="57">
          <cell r="C57">
            <v>251321850</v>
          </cell>
        </row>
        <row r="58">
          <cell r="C58">
            <v>15948850</v>
          </cell>
        </row>
        <row r="59">
          <cell r="C59">
            <v>-48853914</v>
          </cell>
        </row>
        <row r="60">
          <cell r="C60">
            <v>-12316346</v>
          </cell>
        </row>
        <row r="61">
          <cell r="C61">
            <v>1945731</v>
          </cell>
        </row>
        <row r="62">
          <cell r="C62">
            <v>-45658660</v>
          </cell>
        </row>
        <row r="63">
          <cell r="C63">
            <v>-88934339</v>
          </cell>
        </row>
        <row r="64">
          <cell r="C64">
            <v>3336545</v>
          </cell>
        </row>
        <row r="66">
          <cell r="C66">
            <v>165724056</v>
          </cell>
        </row>
        <row r="67">
          <cell r="C67">
            <v>-33886203</v>
          </cell>
        </row>
        <row r="68">
          <cell r="C68">
            <v>0</v>
          </cell>
        </row>
        <row r="69">
          <cell r="C69">
            <v>66560594</v>
          </cell>
        </row>
        <row r="70">
          <cell r="C70">
            <v>131837853</v>
          </cell>
        </row>
        <row r="71">
          <cell r="C71">
            <v>65277259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Trim"/>
      <sheetName val="Resultados por Segmento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285099776</v>
          </cell>
        </row>
        <row r="24">
          <cell r="J24">
            <v>36613290</v>
          </cell>
        </row>
      </sheetData>
      <sheetData sheetId="9"/>
      <sheetData sheetId="10"/>
      <sheetData sheetId="11"/>
      <sheetData sheetId="12">
        <row r="13">
          <cell r="C13">
            <v>117895530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e Diciembre 2023"/>
      <sheetName val="Resultado Septiembre 2023"/>
      <sheetName val="Balance Septiembre 2024"/>
      <sheetName val="Resultado Septiembre 2024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0 Otros Activos Finan"/>
      <sheetName val="N11 Otros Activos No Fin"/>
      <sheetName val="N12 Intangibles"/>
      <sheetName val="N13 Plusvalía"/>
      <sheetName val="N14 PPE"/>
      <sheetName val="N14 Arrendamiento NIIF16"/>
      <sheetName val="IFRS 16"/>
      <sheetName val="N14 Adicional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16.6Derivados"/>
      <sheetName val="N17,5 Flujos de financiamiento"/>
      <sheetName val="N17 Acreed. Comerciales"/>
      <sheetName val="N17.1 Acreed. Comerc. por Venc."/>
      <sheetName val="N18 Otras Prov."/>
      <sheetName val="N19 Beneficios Empleados"/>
      <sheetName val="N21 Pas. No Financiero"/>
      <sheetName val="N23 Partic. No Controladoras"/>
      <sheetName val="Nota 24 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CovenantAA"/>
      <sheetName val="CovenantAC"/>
      <sheetName val="N6 CxC CxP Relacionadas"/>
      <sheetName val="notas resultado"/>
      <sheetName val="Hoja1"/>
      <sheetName val="Estado de Flujo IAM Conso"/>
    </sheetNames>
    <sheetDataSet>
      <sheetData sheetId="0"/>
      <sheetData sheetId="1"/>
      <sheetData sheetId="2"/>
      <sheetData sheetId="3"/>
      <sheetData sheetId="4">
        <row r="2">
          <cell r="B2" t="str">
            <v>ACTIVOS</v>
          </cell>
          <cell r="C2" t="str">
            <v>Nota</v>
          </cell>
          <cell r="D2">
            <v>45565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ACTIVOS CORRIENTES</v>
          </cell>
        </row>
        <row r="5">
          <cell r="B5" t="str">
            <v>Efectivo y equivalentes al efectivo</v>
          </cell>
          <cell r="C5">
            <v>4</v>
          </cell>
          <cell r="D5">
            <v>76497474</v>
          </cell>
          <cell r="E5">
            <v>110795410</v>
          </cell>
        </row>
        <row r="6">
          <cell r="B6" t="str">
            <v>Otros activos financieros</v>
          </cell>
          <cell r="C6">
            <v>10</v>
          </cell>
          <cell r="D6">
            <v>6893234</v>
          </cell>
          <cell r="E6">
            <v>0</v>
          </cell>
        </row>
        <row r="7">
          <cell r="B7" t="str">
            <v>Otros activos no financieros</v>
          </cell>
          <cell r="C7">
            <v>11</v>
          </cell>
          <cell r="D7">
            <v>4537051</v>
          </cell>
          <cell r="E7">
            <v>7180555</v>
          </cell>
        </row>
        <row r="8">
          <cell r="B8" t="str">
            <v>Deudores comerciales y otras cuentas por cobrar,</v>
          </cell>
          <cell r="C8">
            <v>5</v>
          </cell>
          <cell r="D8">
            <v>116517448</v>
          </cell>
          <cell r="E8">
            <v>132009297</v>
          </cell>
        </row>
        <row r="9">
          <cell r="B9" t="str">
            <v>Cuentas por cobrar a entidades relacionadas</v>
          </cell>
          <cell r="C9">
            <v>6</v>
          </cell>
          <cell r="D9">
            <v>15152</v>
          </cell>
          <cell r="E9">
            <v>14381</v>
          </cell>
        </row>
        <row r="10">
          <cell r="B10" t="str">
            <v>Inventarios</v>
          </cell>
          <cell r="C10">
            <v>7</v>
          </cell>
          <cell r="D10">
            <v>12004728</v>
          </cell>
          <cell r="E10">
            <v>12812483</v>
          </cell>
        </row>
        <row r="11">
          <cell r="B11" t="str">
            <v>Activos por impuestos corrientes</v>
          </cell>
          <cell r="C11">
            <v>8</v>
          </cell>
          <cell r="D11">
            <v>9671759</v>
          </cell>
          <cell r="E11">
            <v>13965510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D12">
            <v>226136846</v>
          </cell>
          <cell r="E12">
            <v>276777636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0</v>
          </cell>
          <cell r="E13">
            <v>3414</v>
          </cell>
        </row>
        <row r="14">
          <cell r="B14" t="str">
            <v>ACTIVOS CORRIENTES TOTALES</v>
          </cell>
          <cell r="D14">
            <v>226136846</v>
          </cell>
          <cell r="E14">
            <v>276781050</v>
          </cell>
        </row>
        <row r="15">
          <cell r="B15" t="str">
            <v>ACTIVOS NO CORRIENTES</v>
          </cell>
        </row>
        <row r="16">
          <cell r="B16" t="str">
            <v>Otros activos financieros</v>
          </cell>
          <cell r="C16">
            <v>10</v>
          </cell>
          <cell r="D16">
            <v>8254287</v>
          </cell>
          <cell r="E16">
            <v>7895863</v>
          </cell>
        </row>
        <row r="17">
          <cell r="B17" t="str">
            <v>Otros activos no financieros</v>
          </cell>
          <cell r="C17">
            <v>11</v>
          </cell>
          <cell r="D17">
            <v>3598840</v>
          </cell>
          <cell r="E17">
            <v>1481897</v>
          </cell>
        </row>
        <row r="18">
          <cell r="B18" t="str">
            <v>Derechos por cobrar</v>
          </cell>
          <cell r="C18">
            <v>5</v>
          </cell>
          <cell r="D18">
            <v>3766684</v>
          </cell>
          <cell r="E18">
            <v>3778724</v>
          </cell>
        </row>
        <row r="19">
          <cell r="B19" t="str">
            <v>Inversiones contabilizadas utilizando el método de la partic</v>
          </cell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12</v>
          </cell>
          <cell r="D20">
            <v>619883123</v>
          </cell>
          <cell r="E20">
            <v>231747713</v>
          </cell>
        </row>
        <row r="21">
          <cell r="B21" t="str">
            <v>Plusvalia</v>
          </cell>
          <cell r="C21">
            <v>13</v>
          </cell>
          <cell r="D21">
            <v>305171468</v>
          </cell>
          <cell r="E21">
            <v>305171468</v>
          </cell>
        </row>
        <row r="22">
          <cell r="B22" t="str">
            <v>Propiedades, plantas y equipos</v>
          </cell>
          <cell r="C22">
            <v>14</v>
          </cell>
          <cell r="D22">
            <v>1845573943</v>
          </cell>
          <cell r="E22">
            <v>1805370932</v>
          </cell>
        </row>
        <row r="23">
          <cell r="B23" t="str">
            <v>Activos por derecho de uso</v>
          </cell>
          <cell r="C23">
            <v>14</v>
          </cell>
          <cell r="D23">
            <v>3805891</v>
          </cell>
          <cell r="E23">
            <v>4310355</v>
          </cell>
        </row>
        <row r="24">
          <cell r="B24" t="str">
            <v>Activos por impuestos diferidos</v>
          </cell>
          <cell r="C24">
            <v>16</v>
          </cell>
          <cell r="D24">
            <v>2373571</v>
          </cell>
          <cell r="E24">
            <v>59938069</v>
          </cell>
        </row>
        <row r="25">
          <cell r="B25" t="str">
            <v>Cuentas por cobrar a entidades relacionadas</v>
          </cell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D26">
            <v>2792427807</v>
          </cell>
          <cell r="E26">
            <v>2419695021</v>
          </cell>
        </row>
        <row r="28">
          <cell r="B28" t="str">
            <v>TOTAL DE ACTIVOS</v>
          </cell>
          <cell r="D28">
            <v>3018564653</v>
          </cell>
          <cell r="E28">
            <v>2696476071</v>
          </cell>
        </row>
      </sheetData>
      <sheetData sheetId="5">
        <row r="2">
          <cell r="B2" t="str">
            <v>PASIVOS</v>
          </cell>
          <cell r="C2" t="str">
            <v>Nota</v>
          </cell>
          <cell r="D2">
            <v>45565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PASIVOS CORRIENTES</v>
          </cell>
        </row>
        <row r="5">
          <cell r="B5" t="str">
            <v xml:space="preserve">Otros pasivos financieros </v>
          </cell>
          <cell r="C5">
            <v>17</v>
          </cell>
          <cell r="D5">
            <v>89431188</v>
          </cell>
          <cell r="E5">
            <v>155416801</v>
          </cell>
        </row>
        <row r="6">
          <cell r="B6" t="str">
            <v>Pasivos por arrendamientos</v>
          </cell>
          <cell r="C6">
            <v>15</v>
          </cell>
          <cell r="D6">
            <v>1755467</v>
          </cell>
          <cell r="E6">
            <v>1756478</v>
          </cell>
        </row>
        <row r="7">
          <cell r="B7" t="str">
            <v>Cuentas por pagar comerciales y otras cuentas por pagar</v>
          </cell>
          <cell r="C7">
            <v>18</v>
          </cell>
          <cell r="D7">
            <v>138141927</v>
          </cell>
          <cell r="E7">
            <v>177869738</v>
          </cell>
        </row>
        <row r="8">
          <cell r="B8" t="str">
            <v>Cuentas por pagar a entidades relacionadas</v>
          </cell>
          <cell r="C8">
            <v>6</v>
          </cell>
          <cell r="D8">
            <v>1217734</v>
          </cell>
          <cell r="E8">
            <v>1583500</v>
          </cell>
        </row>
        <row r="9">
          <cell r="B9" t="str">
            <v>Otras provisiones</v>
          </cell>
          <cell r="C9">
            <v>19</v>
          </cell>
          <cell r="D9">
            <v>790902</v>
          </cell>
          <cell r="E9">
            <v>735780</v>
          </cell>
        </row>
        <row r="10">
          <cell r="B10" t="str">
            <v>Pasivos por impuestos</v>
          </cell>
          <cell r="C10">
            <v>8</v>
          </cell>
          <cell r="D10">
            <v>422762</v>
          </cell>
          <cell r="E10">
            <v>245000</v>
          </cell>
        </row>
        <row r="11">
          <cell r="B11" t="str">
            <v>Provisiones corrientes por beneficios a los empleados</v>
          </cell>
          <cell r="C11">
            <v>20</v>
          </cell>
          <cell r="D11">
            <v>5414499</v>
          </cell>
          <cell r="E11">
            <v>5985824</v>
          </cell>
        </row>
        <row r="12">
          <cell r="B12" t="str">
            <v>Otros pasivos no financieros</v>
          </cell>
          <cell r="C12">
            <v>21</v>
          </cell>
          <cell r="D12">
            <v>13524733</v>
          </cell>
          <cell r="E12">
            <v>19041225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D13">
            <v>250699212</v>
          </cell>
          <cell r="E13">
            <v>362634346</v>
          </cell>
        </row>
        <row r="14">
          <cell r="B14" t="str">
            <v>Pasivos incluidos en grupos de activos para su disposición clasificados como mantenidos para la venta</v>
          </cell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D15">
            <v>250699212</v>
          </cell>
          <cell r="E15">
            <v>362634346</v>
          </cell>
        </row>
        <row r="16">
          <cell r="B16" t="str">
            <v>PASIVOS NO CORRIENTES</v>
          </cell>
        </row>
        <row r="17">
          <cell r="B17" t="str">
            <v>Otros pasivos financieros</v>
          </cell>
          <cell r="C17">
            <v>17</v>
          </cell>
          <cell r="D17">
            <v>1230124282</v>
          </cell>
          <cell r="E17">
            <v>1125060897</v>
          </cell>
        </row>
        <row r="18">
          <cell r="B18" t="str">
            <v>Pasivos por arrendamientos</v>
          </cell>
          <cell r="C18">
            <v>15</v>
          </cell>
          <cell r="D18">
            <v>2291022</v>
          </cell>
          <cell r="E18">
            <v>2762179</v>
          </cell>
        </row>
        <row r="19">
          <cell r="B19" t="str">
            <v>Otras cuentas por pagar</v>
          </cell>
          <cell r="C19">
            <v>18</v>
          </cell>
          <cell r="D19">
            <v>1386972</v>
          </cell>
          <cell r="E19">
            <v>1181871</v>
          </cell>
        </row>
        <row r="20">
          <cell r="B20" t="str">
            <v>Cuentas por pagar a entidades relacionadas</v>
          </cell>
          <cell r="D20">
            <v>0</v>
          </cell>
          <cell r="E20">
            <v>0</v>
          </cell>
        </row>
        <row r="21">
          <cell r="B21" t="str">
            <v>Otras provisiones</v>
          </cell>
          <cell r="C21">
            <v>19</v>
          </cell>
          <cell r="D21">
            <v>1881981</v>
          </cell>
          <cell r="E21">
            <v>1823379</v>
          </cell>
        </row>
        <row r="22">
          <cell r="B22" t="str">
            <v>Pasivo por impuestos diferidos</v>
          </cell>
          <cell r="C22">
            <v>16</v>
          </cell>
          <cell r="D22">
            <v>58746266</v>
          </cell>
          <cell r="E22">
            <v>15207944</v>
          </cell>
        </row>
        <row r="23">
          <cell r="B23" t="str">
            <v>Provisiones no corrientes por beneficios a los empleados</v>
          </cell>
          <cell r="C23">
            <v>20</v>
          </cell>
          <cell r="D23">
            <v>22906413</v>
          </cell>
          <cell r="E23">
            <v>22322555</v>
          </cell>
        </row>
        <row r="24">
          <cell r="B24" t="str">
            <v>Otros pasivos no financieros</v>
          </cell>
          <cell r="C24">
            <v>21</v>
          </cell>
          <cell r="D24">
            <v>7923297</v>
          </cell>
          <cell r="E24">
            <v>7454642</v>
          </cell>
        </row>
        <row r="25">
          <cell r="B25" t="str">
            <v>TOTAL DE PASIVOS NO CORRIENTES</v>
          </cell>
          <cell r="D25">
            <v>1325260233</v>
          </cell>
          <cell r="E25">
            <v>1175813467</v>
          </cell>
        </row>
        <row r="27">
          <cell r="B27" t="str">
            <v>TOTAL PASIVOS</v>
          </cell>
          <cell r="D27">
            <v>1575959445</v>
          </cell>
          <cell r="E27">
            <v>1538447813</v>
          </cell>
        </row>
        <row r="28">
          <cell r="B28" t="str">
            <v>PATRIMONIO</v>
          </cell>
        </row>
        <row r="29">
          <cell r="B29" t="str">
            <v>Capital Emitido</v>
          </cell>
          <cell r="C29">
            <v>22</v>
          </cell>
          <cell r="D29">
            <v>468358402</v>
          </cell>
          <cell r="E29">
            <v>468358402</v>
          </cell>
        </row>
        <row r="30">
          <cell r="B30" t="str">
            <v>Ganancias (perdidas) acumuladas</v>
          </cell>
          <cell r="C30">
            <v>22</v>
          </cell>
          <cell r="D30">
            <v>205363086.88104901</v>
          </cell>
          <cell r="E30">
            <v>203895643.88104901</v>
          </cell>
        </row>
        <row r="31">
          <cell r="B31" t="str">
            <v>Primas de emision</v>
          </cell>
          <cell r="C31">
            <v>21</v>
          </cell>
          <cell r="D31">
            <v>0</v>
          </cell>
          <cell r="E31">
            <v>0</v>
          </cell>
        </row>
        <row r="32">
          <cell r="B32" t="str">
            <v>Otras participaciones en el patrimonio</v>
          </cell>
          <cell r="C32">
            <v>22</v>
          </cell>
          <cell r="D32">
            <v>-37268415</v>
          </cell>
          <cell r="E32">
            <v>-37268415</v>
          </cell>
        </row>
        <row r="33">
          <cell r="B33" t="str">
            <v>Otras reservas</v>
          </cell>
          <cell r="C33">
            <v>22</v>
          </cell>
          <cell r="D33">
            <v>221991660.9200604</v>
          </cell>
          <cell r="E33">
            <v>80864058.224631608</v>
          </cell>
        </row>
        <row r="34">
          <cell r="B34" t="str">
            <v>Patrimonio atribuible a los propietarios de la controladora</v>
          </cell>
          <cell r="D34">
            <v>858444734.80110943</v>
          </cell>
          <cell r="E34">
            <v>715849689.1056807</v>
          </cell>
        </row>
        <row r="35">
          <cell r="B35" t="str">
            <v>Participaciones no controladoras</v>
          </cell>
          <cell r="C35">
            <v>23</v>
          </cell>
          <cell r="D35">
            <v>584160472.85245204</v>
          </cell>
          <cell r="E35">
            <v>442178569</v>
          </cell>
        </row>
        <row r="36">
          <cell r="B36" t="str">
            <v xml:space="preserve">PATRIMONIO TOTAL </v>
          </cell>
          <cell r="D36">
            <v>1442605207.6535616</v>
          </cell>
          <cell r="E36">
            <v>1158028258.1056807</v>
          </cell>
        </row>
        <row r="38">
          <cell r="B38" t="str">
            <v>TOTAL DE PATRIMONIO Y PASIVOS</v>
          </cell>
          <cell r="D38">
            <v>3018564652.6535616</v>
          </cell>
          <cell r="E38">
            <v>2696476071.1056805</v>
          </cell>
        </row>
      </sheetData>
      <sheetData sheetId="6"/>
      <sheetData sheetId="7">
        <row r="5">
          <cell r="E5">
            <v>562603049</v>
          </cell>
        </row>
        <row r="9">
          <cell r="E9">
            <v>3567178</v>
          </cell>
        </row>
        <row r="11">
          <cell r="E11">
            <v>-205617150</v>
          </cell>
        </row>
        <row r="13">
          <cell r="E13">
            <v>-59321208</v>
          </cell>
        </row>
        <row r="15">
          <cell r="E15">
            <v>-50729930</v>
          </cell>
        </row>
        <row r="19">
          <cell r="E19">
            <v>-32414633</v>
          </cell>
        </row>
        <row r="20">
          <cell r="E20">
            <v>13380268</v>
          </cell>
        </row>
        <row r="21">
          <cell r="E21">
            <v>-41995658</v>
          </cell>
        </row>
        <row r="22">
          <cell r="E22">
            <v>-18369799</v>
          </cell>
        </row>
        <row r="33">
          <cell r="E33">
            <v>4998196</v>
          </cell>
        </row>
        <row r="34">
          <cell r="E34">
            <v>-102470131</v>
          </cell>
        </row>
        <row r="36">
          <cell r="E36">
            <v>-3091788</v>
          </cell>
        </row>
        <row r="48">
          <cell r="E48">
            <v>126214</v>
          </cell>
        </row>
        <row r="54">
          <cell r="E54">
            <v>8554804</v>
          </cell>
        </row>
        <row r="58">
          <cell r="E58">
            <v>-61747892</v>
          </cell>
        </row>
        <row r="62">
          <cell r="E62">
            <v>-50250423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"/>
      <sheetName val="Balance_Dic18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resultado 09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/>
      <sheetData sheetId="1"/>
      <sheetData sheetId="2"/>
      <sheetData sheetId="3"/>
      <sheetData sheetId="4"/>
      <sheetData sheetId="5">
        <row r="2">
          <cell r="D2">
            <v>43738</v>
          </cell>
        </row>
        <row r="13">
          <cell r="C13">
            <v>9</v>
          </cell>
        </row>
      </sheetData>
      <sheetData sheetId="6">
        <row r="5">
          <cell r="C5">
            <v>15</v>
          </cell>
        </row>
      </sheetData>
      <sheetData sheetId="7">
        <row r="2">
          <cell r="D2">
            <v>43738</v>
          </cell>
        </row>
      </sheetData>
      <sheetData sheetId="8">
        <row r="4">
          <cell r="D4">
            <v>492197681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43738</v>
          </cell>
        </row>
      </sheetData>
      <sheetData sheetId="29"/>
      <sheetData sheetId="30">
        <row r="22">
          <cell r="E22">
            <v>11704698</v>
          </cell>
        </row>
      </sheetData>
      <sheetData sheetId="31"/>
      <sheetData sheetId="32"/>
      <sheetData sheetId="33">
        <row r="27">
          <cell r="K27">
            <v>11704698</v>
          </cell>
        </row>
      </sheetData>
      <sheetData sheetId="34"/>
      <sheetData sheetId="35">
        <row r="27">
          <cell r="R27">
            <v>18490095.289300997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H2" t="str">
            <v>Etiquetas de fila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e Diciembre 2023"/>
      <sheetName val="Resultado Junio 2023"/>
      <sheetName val="Balance Junio 2024"/>
      <sheetName val="Resultado Junio 2024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0 Otros Activos No Fin"/>
      <sheetName val="N11 Intangibles"/>
      <sheetName val="N12 Plusvalía"/>
      <sheetName val="N13 PPE"/>
      <sheetName val="N14 Arrendamiento NIIF16"/>
      <sheetName val="IFRS 16"/>
      <sheetName val="N14 Adicional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Derivados"/>
      <sheetName val="N17,5 Flujos de financiamien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ota 23 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CovenantAA"/>
      <sheetName val="CovenantAC"/>
      <sheetName val="N6 CxC CxP Relacionadas"/>
      <sheetName val="notas resultado"/>
      <sheetName val="Hoja1"/>
      <sheetName val="Estado de Flujo IAM Con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109769506</v>
          </cell>
        </row>
        <row r="13">
          <cell r="D1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C000"/>
    <pageSetUpPr fitToPage="1"/>
  </sheetPr>
  <dimension ref="A3:G19"/>
  <sheetViews>
    <sheetView showGridLines="0" workbookViewId="0">
      <selection activeCell="D15" sqref="D15"/>
    </sheetView>
  </sheetViews>
  <sheetFormatPr baseColWidth="10" defaultColWidth="11.42578125" defaultRowHeight="15" customHeight="1"/>
  <cols>
    <col min="1" max="1" width="8" style="15" bestFit="1" customWidth="1"/>
    <col min="2" max="2" width="35.28515625" style="15" bestFit="1" customWidth="1"/>
    <col min="3" max="3" width="8.5703125" style="15" customWidth="1"/>
    <col min="4" max="4" width="13.7109375" style="15" customWidth="1"/>
    <col min="5" max="5" width="12.85546875" style="15" customWidth="1"/>
    <col min="6" max="16384" width="11.42578125" style="15"/>
  </cols>
  <sheetData>
    <row r="3" spans="1:7" ht="15" customHeight="1" thickBot="1">
      <c r="B3" s="47"/>
      <c r="C3" s="40"/>
      <c r="D3" s="432" t="s">
        <v>449</v>
      </c>
      <c r="E3" s="40" t="str">
        <f>+cálculos!L4</f>
        <v>Dic-23</v>
      </c>
    </row>
    <row r="4" spans="1:7" ht="15" customHeight="1">
      <c r="B4" s="5" t="s">
        <v>64</v>
      </c>
      <c r="C4" s="4"/>
    </row>
    <row r="5" spans="1:7" ht="15" customHeight="1">
      <c r="A5" s="48"/>
      <c r="B5" s="4" t="s">
        <v>189</v>
      </c>
      <c r="C5" s="41" t="s">
        <v>65</v>
      </c>
      <c r="D5" s="49">
        <f>cálculos!K7</f>
        <v>0.9</v>
      </c>
      <c r="E5" s="49">
        <f>cálculos!M7</f>
        <v>0.76</v>
      </c>
      <c r="F5" s="55"/>
      <c r="G5" s="409"/>
    </row>
    <row r="6" spans="1:7" ht="15" customHeight="1">
      <c r="A6" s="48"/>
      <c r="B6" s="4" t="s">
        <v>176</v>
      </c>
      <c r="C6" s="41" t="s">
        <v>65</v>
      </c>
      <c r="D6" s="49">
        <f>cálculos!K10</f>
        <v>0.31</v>
      </c>
      <c r="E6" s="49">
        <f>cálculos!M10</f>
        <v>0.31</v>
      </c>
      <c r="F6" s="55"/>
      <c r="G6" s="409"/>
    </row>
    <row r="7" spans="1:7" ht="15" customHeight="1">
      <c r="B7" s="5" t="s">
        <v>66</v>
      </c>
      <c r="C7" s="4"/>
      <c r="D7" s="51"/>
      <c r="E7" s="51"/>
      <c r="F7" s="377"/>
      <c r="G7" s="409"/>
    </row>
    <row r="8" spans="1:7" ht="15" customHeight="1">
      <c r="B8" s="4" t="s">
        <v>177</v>
      </c>
      <c r="C8" s="41" t="s">
        <v>65</v>
      </c>
      <c r="D8" s="49">
        <f>cálculos!K14</f>
        <v>1.0900000000000001</v>
      </c>
      <c r="E8" s="49">
        <f>cálculos!M14</f>
        <v>1.33</v>
      </c>
      <c r="F8" s="55"/>
      <c r="G8" s="409"/>
    </row>
    <row r="9" spans="1:7" ht="15" customHeight="1">
      <c r="A9" s="48"/>
      <c r="B9" s="4" t="s">
        <v>67</v>
      </c>
      <c r="C9" s="41" t="s">
        <v>65</v>
      </c>
      <c r="D9" s="49">
        <f>cálculos!K17</f>
        <v>0.15909999999999999</v>
      </c>
      <c r="E9" s="49">
        <f>cálculos!M17</f>
        <v>0.23569999999999999</v>
      </c>
      <c r="F9" s="55"/>
      <c r="G9" s="409"/>
    </row>
    <row r="10" spans="1:7" ht="15" customHeight="1">
      <c r="A10" s="48"/>
      <c r="B10" s="4" t="s">
        <v>68</v>
      </c>
      <c r="C10" s="41" t="s">
        <v>65</v>
      </c>
      <c r="D10" s="49">
        <f>cálculos!K20</f>
        <v>0.84089999999999998</v>
      </c>
      <c r="E10" s="49">
        <f>cálculos!M20</f>
        <v>0.76429999999999998</v>
      </c>
      <c r="F10" s="55"/>
      <c r="G10" s="409"/>
    </row>
    <row r="11" spans="1:7" ht="15" customHeight="1">
      <c r="A11" s="48"/>
      <c r="B11" s="4" t="s">
        <v>206</v>
      </c>
      <c r="C11" s="41" t="s">
        <v>65</v>
      </c>
      <c r="D11" s="49">
        <f>cálculos!K23</f>
        <v>4.2300000000000004</v>
      </c>
      <c r="E11" s="49">
        <v>4.3899999999999997</v>
      </c>
      <c r="F11" s="55"/>
      <c r="G11" s="409"/>
    </row>
    <row r="12" spans="1:7" ht="15" customHeight="1">
      <c r="B12" s="5" t="s">
        <v>69</v>
      </c>
      <c r="C12" s="4"/>
      <c r="D12" s="49"/>
      <c r="E12" s="51"/>
      <c r="F12" s="377"/>
      <c r="G12" s="409"/>
    </row>
    <row r="13" spans="1:7" ht="36">
      <c r="A13" s="48"/>
      <c r="B13" s="52" t="s">
        <v>207</v>
      </c>
      <c r="C13" s="41" t="s">
        <v>70</v>
      </c>
      <c r="D13" s="49">
        <f>cálculos!K39</f>
        <v>7.9399999999999995</v>
      </c>
      <c r="E13" s="49">
        <f>cálculos!M39</f>
        <v>9.27</v>
      </c>
      <c r="F13" s="55"/>
      <c r="G13" s="409"/>
    </row>
    <row r="14" spans="1:7" ht="15" customHeight="1">
      <c r="A14" s="48"/>
      <c r="B14" s="4" t="s">
        <v>208</v>
      </c>
      <c r="C14" s="41" t="s">
        <v>70</v>
      </c>
      <c r="D14" s="49">
        <f>cálculos!K43</f>
        <v>2.1999999999999997</v>
      </c>
      <c r="E14" s="49">
        <f>cálculos!M43</f>
        <v>2.44</v>
      </c>
      <c r="F14" s="406"/>
      <c r="G14" s="409"/>
    </row>
    <row r="15" spans="1:7" ht="15" customHeight="1">
      <c r="A15" s="48"/>
      <c r="B15" s="4" t="s">
        <v>209</v>
      </c>
      <c r="C15" s="41" t="s">
        <v>71</v>
      </c>
      <c r="D15" s="49">
        <f>cálculos!K46</f>
        <v>62.61</v>
      </c>
      <c r="E15" s="49">
        <f>cálculos!M46</f>
        <v>65.28</v>
      </c>
      <c r="F15" s="55"/>
      <c r="G15" s="409"/>
    </row>
    <row r="16" spans="1:7" ht="15" customHeight="1">
      <c r="B16" s="4" t="s">
        <v>194</v>
      </c>
      <c r="C16" s="41" t="s">
        <v>70</v>
      </c>
      <c r="D16" s="49">
        <f>cálculos!K50</f>
        <v>8.9499999999999993</v>
      </c>
      <c r="E16" s="49">
        <f>cálculos!M50</f>
        <v>5.89</v>
      </c>
      <c r="F16" s="55"/>
      <c r="G16" s="409"/>
    </row>
    <row r="17" spans="2:7" ht="15" customHeight="1">
      <c r="G17" s="50"/>
    </row>
    <row r="19" spans="2:7" ht="15" customHeight="1">
      <c r="B19" s="485" t="s">
        <v>450</v>
      </c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C000"/>
    <pageSetUpPr fitToPage="1"/>
  </sheetPr>
  <dimension ref="A1:V206"/>
  <sheetViews>
    <sheetView showGridLines="0" tabSelected="1" topLeftCell="D34" zoomScale="106" zoomScaleNormal="106" workbookViewId="0">
      <selection activeCell="K46" sqref="K46"/>
    </sheetView>
  </sheetViews>
  <sheetFormatPr baseColWidth="10" defaultColWidth="11.42578125" defaultRowHeight="15" customHeight="1"/>
  <cols>
    <col min="1" max="1" width="3.85546875" style="140" customWidth="1"/>
    <col min="2" max="2" width="51.140625" style="140" customWidth="1"/>
    <col min="3" max="3" width="16.28515625" style="140" customWidth="1"/>
    <col min="4" max="4" width="18.85546875" style="140" bestFit="1" customWidth="1"/>
    <col min="5" max="5" width="18.5703125" style="140" bestFit="1" customWidth="1"/>
    <col min="6" max="6" width="16.7109375" style="140" customWidth="1"/>
    <col min="7" max="7" width="4.5703125" style="140" customWidth="1"/>
    <col min="8" max="8" width="31.5703125" style="140" customWidth="1"/>
    <col min="9" max="9" width="7.140625" style="140" customWidth="1"/>
    <col min="10" max="10" width="21" style="140" bestFit="1" customWidth="1"/>
    <col min="11" max="11" width="11.140625" style="140" customWidth="1"/>
    <col min="12" max="12" width="17.85546875" style="140" customWidth="1"/>
    <col min="13" max="13" width="11.140625" style="140" customWidth="1"/>
    <col min="14" max="14" width="1.7109375" style="140" customWidth="1"/>
    <col min="15" max="15" width="10.7109375" style="140" customWidth="1"/>
    <col min="16" max="16" width="11.7109375" style="141" customWidth="1"/>
    <col min="17" max="17" width="11.28515625" style="140" bestFit="1" customWidth="1"/>
    <col min="18" max="18" width="11.85546875" style="140" bestFit="1" customWidth="1"/>
    <col min="19" max="16384" width="11.42578125" style="140"/>
  </cols>
  <sheetData>
    <row r="1" spans="2:22" ht="15" customHeight="1">
      <c r="B1" s="139" t="s">
        <v>167</v>
      </c>
    </row>
    <row r="2" spans="2:22" ht="15" customHeight="1">
      <c r="B2" s="139" t="s">
        <v>166</v>
      </c>
      <c r="K2" s="144"/>
      <c r="T2" s="142"/>
    </row>
    <row r="3" spans="2:22" ht="15" customHeight="1" thickBot="1">
      <c r="H3" s="143" t="s">
        <v>4</v>
      </c>
      <c r="J3" s="144"/>
      <c r="K3" s="144"/>
      <c r="L3" s="144"/>
      <c r="R3" s="145"/>
    </row>
    <row r="4" spans="2:22" ht="15" customHeight="1" thickBot="1">
      <c r="B4" s="146" t="s">
        <v>6</v>
      </c>
      <c r="C4" s="147"/>
      <c r="D4" s="148" t="s">
        <v>432</v>
      </c>
      <c r="E4" s="148" t="s">
        <v>358</v>
      </c>
      <c r="F4" s="148" t="s">
        <v>318</v>
      </c>
      <c r="H4" s="139" t="s">
        <v>5</v>
      </c>
      <c r="J4" s="149" t="str">
        <f>+D4</f>
        <v>Sept-24</v>
      </c>
      <c r="L4" s="149" t="str">
        <f>+E4</f>
        <v>Dic-23</v>
      </c>
      <c r="O4" s="150"/>
      <c r="R4" s="151"/>
      <c r="S4" s="151"/>
      <c r="T4" s="152"/>
      <c r="U4" s="151"/>
      <c r="V4" s="151"/>
    </row>
    <row r="5" spans="2:22" ht="15" customHeight="1" thickBot="1">
      <c r="B5" s="153"/>
      <c r="C5" s="154"/>
      <c r="D5" s="154"/>
      <c r="E5" s="155"/>
      <c r="F5" s="156"/>
      <c r="H5" s="157" t="s">
        <v>7</v>
      </c>
      <c r="J5" s="144"/>
      <c r="K5" s="144"/>
      <c r="M5" s="144"/>
      <c r="P5" s="158"/>
    </row>
    <row r="6" spans="2:22" ht="15" customHeight="1">
      <c r="B6" s="159" t="s">
        <v>47</v>
      </c>
      <c r="C6" s="160" t="s">
        <v>333</v>
      </c>
      <c r="D6" s="161">
        <f>+Balance!D15</f>
        <v>226136846</v>
      </c>
      <c r="E6" s="162">
        <f>+Balance!E15</f>
        <v>276781050</v>
      </c>
      <c r="F6" s="163">
        <f>+[5]cálculos!E6</f>
        <v>326058264</v>
      </c>
      <c r="H6" s="139" t="s">
        <v>9</v>
      </c>
      <c r="J6" s="144"/>
      <c r="K6" s="144"/>
      <c r="M6" s="144"/>
      <c r="O6" s="164"/>
    </row>
    <row r="7" spans="2:22" ht="15" customHeight="1">
      <c r="B7" s="159" t="s">
        <v>48</v>
      </c>
      <c r="C7" s="160" t="s">
        <v>333</v>
      </c>
      <c r="D7" s="161">
        <f>+Balance!D26</f>
        <v>2792427807</v>
      </c>
      <c r="E7" s="162">
        <f>+Balance!E26</f>
        <v>2419695021</v>
      </c>
      <c r="F7" s="163">
        <f>+[5]cálculos!E7</f>
        <v>2325871931</v>
      </c>
      <c r="H7" s="165" t="s">
        <v>45</v>
      </c>
      <c r="I7" s="140" t="s">
        <v>10</v>
      </c>
      <c r="J7" s="166">
        <f>+D6</f>
        <v>226136846</v>
      </c>
      <c r="K7" s="167">
        <f>ROUND(J7/J8,2)</f>
        <v>0.9</v>
      </c>
      <c r="L7" s="166">
        <f>+E6</f>
        <v>276781050</v>
      </c>
      <c r="M7" s="167">
        <f>ROUND(L7/L8,2)</f>
        <v>0.76</v>
      </c>
      <c r="N7" s="168"/>
      <c r="O7" s="169">
        <f>ROUND((K7/M7)-1,3)</f>
        <v>0.184</v>
      </c>
      <c r="P7" s="170">
        <f>ROUND((J7/L7)-1,3)</f>
        <v>-0.183</v>
      </c>
      <c r="Q7" s="144">
        <f>+J7-L7</f>
        <v>-50644204</v>
      </c>
    </row>
    <row r="8" spans="2:22" ht="15" customHeight="1">
      <c r="B8" s="171" t="s">
        <v>11</v>
      </c>
      <c r="C8" s="172"/>
      <c r="D8" s="173">
        <f>SUM(D6:D7)</f>
        <v>3018564653</v>
      </c>
      <c r="E8" s="174">
        <f>SUM(E6:E7)</f>
        <v>2696476071</v>
      </c>
      <c r="F8" s="174">
        <f>SUM(F6:F7)</f>
        <v>2651930195</v>
      </c>
      <c r="H8" s="140" t="s">
        <v>46</v>
      </c>
      <c r="J8" s="144">
        <f>+D10</f>
        <v>250699212</v>
      </c>
      <c r="K8" s="144"/>
      <c r="L8" s="144">
        <f>+E10</f>
        <v>362634346</v>
      </c>
      <c r="M8" s="379"/>
      <c r="O8" s="169"/>
      <c r="P8" s="170">
        <f>ROUND((J8/L8)-1,3)</f>
        <v>-0.309</v>
      </c>
      <c r="Q8" s="144">
        <f>+J8-L8</f>
        <v>-111935134</v>
      </c>
    </row>
    <row r="9" spans="2:22" ht="15" customHeight="1">
      <c r="B9" s="159"/>
      <c r="C9" s="154"/>
      <c r="D9" s="161"/>
      <c r="E9" s="162"/>
      <c r="F9" s="163"/>
      <c r="H9" s="139" t="s">
        <v>12</v>
      </c>
      <c r="J9" s="144"/>
      <c r="K9" s="144"/>
      <c r="L9" s="144"/>
      <c r="M9" s="144"/>
      <c r="O9" s="176"/>
    </row>
    <row r="10" spans="2:22" ht="15" customHeight="1">
      <c r="B10" s="159" t="s">
        <v>50</v>
      </c>
      <c r="C10" s="160" t="s">
        <v>333</v>
      </c>
      <c r="D10" s="161">
        <f>+Balance!D44</f>
        <v>250699212</v>
      </c>
      <c r="E10" s="162">
        <f>+Balance!E44</f>
        <v>362634346</v>
      </c>
      <c r="F10" s="163">
        <f>+[5]cálculos!E10</f>
        <v>266626154</v>
      </c>
      <c r="H10" s="165" t="s">
        <v>55</v>
      </c>
      <c r="I10" s="140" t="s">
        <v>10</v>
      </c>
      <c r="J10" s="166">
        <f>+D33</f>
        <v>76497474</v>
      </c>
      <c r="K10" s="167">
        <f>ROUND(J10/J11,2)</f>
        <v>0.31</v>
      </c>
      <c r="L10" s="166">
        <f>+Balance!E6</f>
        <v>110795410</v>
      </c>
      <c r="M10" s="167">
        <f>ROUND(L10/L11,2)</f>
        <v>0.31</v>
      </c>
      <c r="N10" s="168"/>
      <c r="O10" s="169">
        <f>ROUND((K10/M10)-1,4)</f>
        <v>0</v>
      </c>
      <c r="P10" s="170">
        <f>ROUND((J10/L10)-1,3)</f>
        <v>-0.31</v>
      </c>
      <c r="Q10" s="144">
        <f>+J10-L10</f>
        <v>-34297936</v>
      </c>
      <c r="R10" s="177"/>
    </row>
    <row r="11" spans="2:22" ht="15" customHeight="1" thickBot="1">
      <c r="B11" s="159" t="s">
        <v>49</v>
      </c>
      <c r="C11" s="160" t="s">
        <v>333</v>
      </c>
      <c r="D11" s="161">
        <f>+Balance!D54</f>
        <v>1325260233</v>
      </c>
      <c r="E11" s="162">
        <f>+Balance!E54</f>
        <v>1175813467</v>
      </c>
      <c r="F11" s="163">
        <f>+[5]cálculos!E11</f>
        <v>1274907748</v>
      </c>
      <c r="H11" s="140" t="s">
        <v>46</v>
      </c>
      <c r="J11" s="144">
        <f>+D10</f>
        <v>250699212</v>
      </c>
      <c r="K11" s="144"/>
      <c r="L11" s="144">
        <f>+E10</f>
        <v>362634346</v>
      </c>
      <c r="M11" s="144"/>
      <c r="O11" s="175"/>
      <c r="P11" s="170">
        <f>ROUND((J11/L11)-1,3)</f>
        <v>-0.309</v>
      </c>
      <c r="Q11" s="144">
        <f>+J11-L11</f>
        <v>-111935134</v>
      </c>
    </row>
    <row r="12" spans="2:22" ht="15" customHeight="1" thickBot="1">
      <c r="B12" s="159" t="s">
        <v>51</v>
      </c>
      <c r="C12" s="160" t="s">
        <v>333</v>
      </c>
      <c r="D12" s="161">
        <f>+Balance!D64</f>
        <v>584160472.85245204</v>
      </c>
      <c r="E12" s="162">
        <f>+Balance!E64</f>
        <v>442178569</v>
      </c>
      <c r="F12" s="163">
        <f>+[5]cálculos!E12</f>
        <v>418601845</v>
      </c>
      <c r="H12" s="157" t="s">
        <v>13</v>
      </c>
      <c r="J12" s="144"/>
      <c r="K12" s="144"/>
      <c r="L12" s="144"/>
      <c r="M12" s="144"/>
      <c r="O12" s="175"/>
    </row>
    <row r="13" spans="2:22" ht="15" customHeight="1">
      <c r="B13" s="159" t="s">
        <v>98</v>
      </c>
      <c r="C13" s="160" t="s">
        <v>333</v>
      </c>
      <c r="D13" s="161">
        <f>+Balance!D63</f>
        <v>858444734.80110943</v>
      </c>
      <c r="E13" s="162">
        <f>+Balance!E63</f>
        <v>715849689.1056807</v>
      </c>
      <c r="F13" s="163">
        <f>+[5]cálculos!E13</f>
        <v>691794448</v>
      </c>
      <c r="H13" s="139" t="s">
        <v>14</v>
      </c>
      <c r="J13" s="144"/>
      <c r="K13" s="144"/>
      <c r="L13" s="144"/>
      <c r="M13" s="144"/>
      <c r="O13" s="175"/>
    </row>
    <row r="14" spans="2:22" ht="15" customHeight="1" thickBot="1">
      <c r="B14" s="178" t="s">
        <v>11</v>
      </c>
      <c r="C14" s="179"/>
      <c r="D14" s="180">
        <f>SUM(D10:D13)</f>
        <v>3018564652.6535616</v>
      </c>
      <c r="E14" s="181">
        <f>SUM(E10:E13)</f>
        <v>2696476071.1056805</v>
      </c>
      <c r="F14" s="181">
        <f>SUM(F10:F13)</f>
        <v>2651930195</v>
      </c>
      <c r="H14" s="165" t="s">
        <v>15</v>
      </c>
      <c r="I14" s="140" t="s">
        <v>10</v>
      </c>
      <c r="J14" s="166">
        <f>+D10+D11</f>
        <v>1575959445</v>
      </c>
      <c r="K14" s="182">
        <f>ROUND(J14/J15,2)</f>
        <v>1.0900000000000001</v>
      </c>
      <c r="L14" s="166">
        <f>+E10+E11</f>
        <v>1538447813</v>
      </c>
      <c r="M14" s="182">
        <f>ROUND(L14/L15,2)</f>
        <v>1.33</v>
      </c>
      <c r="N14" s="183"/>
      <c r="O14" s="169">
        <f>ROUND((K14/M14)-1,4)</f>
        <v>-0.18049999999999999</v>
      </c>
      <c r="P14" s="170">
        <f>ROUND((J14/L14)-1,3)</f>
        <v>2.4E-2</v>
      </c>
      <c r="Q14" s="144">
        <f>+J14-L14</f>
        <v>37511632</v>
      </c>
      <c r="R14" s="140">
        <v>-25195970</v>
      </c>
    </row>
    <row r="15" spans="2:22" ht="15" customHeight="1" thickBot="1">
      <c r="B15" s="184"/>
      <c r="D15" s="185">
        <f>+D8-D14</f>
        <v>0.34643840789794922</v>
      </c>
      <c r="E15" s="185">
        <f>+E8-E14</f>
        <v>-0.10568046569824219</v>
      </c>
      <c r="F15" s="185">
        <v>0</v>
      </c>
      <c r="H15" s="140" t="s">
        <v>96</v>
      </c>
      <c r="J15" s="144">
        <f>+D13+D12</f>
        <v>1442605207.6535616</v>
      </c>
      <c r="K15" s="144"/>
      <c r="L15" s="144">
        <f>+E13+E12</f>
        <v>1158028258.1056807</v>
      </c>
      <c r="M15" s="144"/>
      <c r="O15" s="175"/>
      <c r="P15" s="170">
        <f>ROUND((J15/L15)-1,3)</f>
        <v>0.246</v>
      </c>
      <c r="Q15" s="144">
        <f>+J15-L15</f>
        <v>284576949.54788089</v>
      </c>
      <c r="R15" s="140">
        <v>28700585</v>
      </c>
    </row>
    <row r="16" spans="2:22" ht="15" customHeight="1">
      <c r="B16" s="146" t="s">
        <v>16</v>
      </c>
      <c r="C16" s="147"/>
      <c r="D16" s="148" t="s">
        <v>432</v>
      </c>
      <c r="E16" s="148" t="s">
        <v>434</v>
      </c>
      <c r="F16" s="186" t="s">
        <v>358</v>
      </c>
      <c r="H16" s="139" t="s">
        <v>17</v>
      </c>
      <c r="J16" s="144"/>
      <c r="K16" s="144"/>
      <c r="L16" s="144"/>
      <c r="M16" s="144"/>
      <c r="O16" s="164"/>
    </row>
    <row r="17" spans="1:20" ht="15" customHeight="1">
      <c r="B17" s="153"/>
      <c r="C17" s="187"/>
      <c r="D17" s="188"/>
      <c r="E17" s="188"/>
      <c r="F17" s="189"/>
      <c r="H17" s="190" t="s">
        <v>46</v>
      </c>
      <c r="I17" s="140" t="s">
        <v>10</v>
      </c>
      <c r="J17" s="166">
        <f>+D10</f>
        <v>250699212</v>
      </c>
      <c r="K17" s="182">
        <f>ROUND(J17/J18,4)</f>
        <v>0.15909999999999999</v>
      </c>
      <c r="L17" s="166">
        <f>+E10</f>
        <v>362634346</v>
      </c>
      <c r="M17" s="182">
        <f>ROUND(L17/L18,4)</f>
        <v>0.23569999999999999</v>
      </c>
      <c r="N17" s="183"/>
      <c r="O17" s="169">
        <f>ROUND((K17/M17)-1,4)</f>
        <v>-0.32500000000000001</v>
      </c>
      <c r="P17" s="170">
        <f>ROUND((J17/L17)-1,3)</f>
        <v>-0.309</v>
      </c>
      <c r="Q17" s="144">
        <f>+J17-L17</f>
        <v>-111935134</v>
      </c>
      <c r="R17" s="169"/>
    </row>
    <row r="18" spans="1:20" ht="15" customHeight="1">
      <c r="B18" s="159" t="s">
        <v>59</v>
      </c>
      <c r="C18" s="160" t="s">
        <v>333</v>
      </c>
      <c r="D18" s="188">
        <f>+C51</f>
        <v>483042204</v>
      </c>
      <c r="E18" s="188">
        <f>+D51</f>
        <v>475235519</v>
      </c>
      <c r="F18" s="188">
        <f>+[5]cálculos!D18</f>
        <v>640855854</v>
      </c>
      <c r="H18" s="140" t="s">
        <v>18</v>
      </c>
      <c r="J18" s="144">
        <f>+D10+D11</f>
        <v>1575959445</v>
      </c>
      <c r="K18" s="144"/>
      <c r="L18" s="144">
        <f>+E10+E11</f>
        <v>1538447813</v>
      </c>
      <c r="M18" s="144"/>
      <c r="O18" s="175"/>
      <c r="P18" s="170">
        <f>ROUND((J18/L18)-1,3)</f>
        <v>2.4E-2</v>
      </c>
      <c r="Q18" s="144">
        <f>+J18-L18</f>
        <v>37511632</v>
      </c>
    </row>
    <row r="19" spans="1:20" ht="15" customHeight="1">
      <c r="B19" s="159" t="s">
        <v>60</v>
      </c>
      <c r="C19" s="160" t="s">
        <v>333</v>
      </c>
      <c r="D19" s="188">
        <f>-C52-C54-C55-C56-C53</f>
        <v>303759200</v>
      </c>
      <c r="E19" s="188">
        <f>-D52-D54-D55-D56-D53</f>
        <v>291209994</v>
      </c>
      <c r="F19" s="188">
        <f>+[5]cálculos!D19</f>
        <v>389534004</v>
      </c>
      <c r="H19" s="139" t="s">
        <v>19</v>
      </c>
      <c r="J19" s="144"/>
      <c r="K19" s="144"/>
      <c r="L19" s="144"/>
      <c r="M19" s="144"/>
      <c r="O19" s="164"/>
      <c r="P19" s="191"/>
      <c r="Q19" s="144"/>
      <c r="R19" s="175"/>
      <c r="T19" s="144"/>
    </row>
    <row r="20" spans="1:20" ht="15" customHeight="1">
      <c r="B20" s="153" t="s">
        <v>75</v>
      </c>
      <c r="C20" s="187" t="s">
        <v>333</v>
      </c>
      <c r="D20" s="192">
        <f>+C66</f>
        <v>114273947</v>
      </c>
      <c r="E20" s="192">
        <f>+D66</f>
        <v>120276827</v>
      </c>
      <c r="F20" s="192">
        <f>+[5]cálculos!D20</f>
        <v>165724056</v>
      </c>
      <c r="H20" s="190" t="s">
        <v>56</v>
      </c>
      <c r="I20" s="140" t="s">
        <v>10</v>
      </c>
      <c r="J20" s="166">
        <f>+D11</f>
        <v>1325260233</v>
      </c>
      <c r="K20" s="182">
        <f>ROUND(J20/J21,4)</f>
        <v>0.84089999999999998</v>
      </c>
      <c r="L20" s="166">
        <f>+E11</f>
        <v>1175813467</v>
      </c>
      <c r="M20" s="182">
        <f>ROUND(L20/L21,4)</f>
        <v>0.76429999999999998</v>
      </c>
      <c r="N20" s="183"/>
      <c r="O20" s="169">
        <f>ROUND((K20/M20)-1,4)</f>
        <v>0.1002</v>
      </c>
      <c r="P20" s="170">
        <f>ROUND((J20/L20)-1,3)</f>
        <v>0.127</v>
      </c>
      <c r="Q20" s="144">
        <f>+J20-L20</f>
        <v>149446766</v>
      </c>
      <c r="R20" s="175"/>
      <c r="T20" s="144"/>
    </row>
    <row r="21" spans="1:20" ht="15" customHeight="1">
      <c r="B21" s="159" t="s">
        <v>22</v>
      </c>
      <c r="C21" s="160" t="s">
        <v>333</v>
      </c>
      <c r="D21" s="188">
        <f>+C59</f>
        <v>-37240845</v>
      </c>
      <c r="E21" s="188">
        <f>+D59</f>
        <v>-36684053</v>
      </c>
      <c r="F21" s="188">
        <f>+[5]cálculos!D21</f>
        <v>-48853914</v>
      </c>
      <c r="H21" s="140" t="s">
        <v>18</v>
      </c>
      <c r="J21" s="144">
        <f>+J18</f>
        <v>1575959445</v>
      </c>
      <c r="K21" s="144" t="s">
        <v>4</v>
      </c>
      <c r="L21" s="144">
        <f>+L18</f>
        <v>1538447813</v>
      </c>
      <c r="M21" s="144" t="s">
        <v>4</v>
      </c>
      <c r="O21" s="175"/>
      <c r="P21" s="170">
        <f>ROUND((J21/L21)-1,3)</f>
        <v>2.4E-2</v>
      </c>
      <c r="Q21" s="144">
        <f>+J21-L21</f>
        <v>37511632</v>
      </c>
      <c r="T21" s="144"/>
    </row>
    <row r="22" spans="1:20" ht="15" customHeight="1">
      <c r="B22" s="159" t="s">
        <v>24</v>
      </c>
      <c r="C22" s="160" t="s">
        <v>333</v>
      </c>
      <c r="D22" s="188">
        <f>+J32</f>
        <v>121101115</v>
      </c>
      <c r="E22" s="188">
        <f>+L32</f>
        <v>159153862</v>
      </c>
      <c r="F22" s="188">
        <f>+[5]cálculos!D22</f>
        <v>159153862</v>
      </c>
      <c r="H22" s="139" t="s">
        <v>20</v>
      </c>
      <c r="J22" s="144"/>
      <c r="K22" s="144"/>
      <c r="L22" s="144"/>
      <c r="M22" s="144"/>
      <c r="O22" s="175"/>
      <c r="P22" s="193"/>
    </row>
    <row r="23" spans="1:20" ht="15" customHeight="1">
      <c r="B23" s="159" t="s">
        <v>25</v>
      </c>
      <c r="C23" s="160" t="s">
        <v>333</v>
      </c>
      <c r="D23" s="188">
        <f>+C71</f>
        <v>44329454</v>
      </c>
      <c r="E23" s="188">
        <f>+D71</f>
        <v>47001310</v>
      </c>
      <c r="F23" s="188">
        <f>+[5]cálculos!D23</f>
        <v>65277259</v>
      </c>
      <c r="H23" s="165" t="s">
        <v>21</v>
      </c>
      <c r="J23" s="166">
        <f>Anualizados!C13</f>
        <v>209131882</v>
      </c>
      <c r="K23" s="182">
        <f>ROUND(J23/J24,2)</f>
        <v>4.2300000000000004</v>
      </c>
      <c r="L23" s="166">
        <f>+[6]Anualizados!$C$13</f>
        <v>117895530</v>
      </c>
      <c r="M23" s="167">
        <f>ROUND(L23/L24,2)</f>
        <v>3.22</v>
      </c>
      <c r="N23" s="194"/>
      <c r="O23" s="169">
        <f>ROUND((K23/M23)-1,4)</f>
        <v>0.31369999999999998</v>
      </c>
      <c r="P23" s="170">
        <f>ROUND((J23/L23)-1,3)</f>
        <v>0.77400000000000002</v>
      </c>
      <c r="Q23" s="144">
        <f>+J23-L23</f>
        <v>91236352</v>
      </c>
    </row>
    <row r="24" spans="1:20" ht="15" customHeight="1" thickBot="1">
      <c r="B24" s="159" t="s">
        <v>26</v>
      </c>
      <c r="C24" s="160" t="s">
        <v>333</v>
      </c>
      <c r="D24" s="188">
        <f>+C67</f>
        <v>-24335533</v>
      </c>
      <c r="E24" s="188">
        <f>+D67</f>
        <v>-25131820</v>
      </c>
      <c r="F24" s="188">
        <f>+[5]cálculos!D24</f>
        <v>-33886203</v>
      </c>
      <c r="H24" s="140" t="s">
        <v>23</v>
      </c>
      <c r="J24" s="144">
        <f>Anualizados!C20</f>
        <v>49410706</v>
      </c>
      <c r="K24" s="195"/>
      <c r="L24" s="144">
        <f>+[6]cálculos!$J$24</f>
        <v>36613290</v>
      </c>
      <c r="M24" s="195"/>
      <c r="O24" s="144"/>
      <c r="P24" s="196">
        <f>ROUND((J24/L24)-1,3)</f>
        <v>0.35</v>
      </c>
      <c r="Q24" s="144">
        <f>+J24-L24</f>
        <v>12797416</v>
      </c>
      <c r="T24" s="183"/>
    </row>
    <row r="25" spans="1:20" ht="15" customHeight="1" thickBot="1">
      <c r="B25" s="197" t="s">
        <v>61</v>
      </c>
      <c r="C25" s="198" t="s">
        <v>333</v>
      </c>
      <c r="D25" s="199">
        <f>+C54</f>
        <v>-60804243</v>
      </c>
      <c r="E25" s="199">
        <f>+D54</f>
        <v>-56574217</v>
      </c>
      <c r="F25" s="199">
        <f>+[5]cálculos!D25</f>
        <v>-77697080</v>
      </c>
      <c r="H25" s="200" t="s">
        <v>27</v>
      </c>
      <c r="I25" s="201"/>
      <c r="J25" s="202"/>
      <c r="K25" s="202"/>
      <c r="L25" s="202"/>
      <c r="M25" s="202"/>
      <c r="N25" s="201"/>
      <c r="O25" s="203"/>
      <c r="P25" s="201"/>
    </row>
    <row r="26" spans="1:20" ht="15" customHeight="1" thickBot="1">
      <c r="C26" s="151"/>
      <c r="D26" s="204"/>
      <c r="E26" s="205"/>
      <c r="F26" s="372"/>
      <c r="H26" s="201" t="s">
        <v>57</v>
      </c>
      <c r="I26" s="201" t="s">
        <v>10</v>
      </c>
      <c r="J26" s="206">
        <f>+D23</f>
        <v>44329454</v>
      </c>
      <c r="K26" s="202"/>
      <c r="L26" s="206">
        <f>+F23</f>
        <v>65277259</v>
      </c>
      <c r="M26" s="202"/>
      <c r="N26" s="201"/>
      <c r="O26" s="203"/>
      <c r="P26" s="201">
        <v>1000</v>
      </c>
      <c r="R26" s="175"/>
    </row>
    <row r="27" spans="1:20" ht="15" customHeight="1">
      <c r="A27" s="207"/>
      <c r="B27" s="146" t="s">
        <v>74</v>
      </c>
      <c r="C27" s="147"/>
      <c r="D27" s="208" t="str">
        <f>+D4</f>
        <v>Sept-24</v>
      </c>
      <c r="E27" s="208" t="str">
        <f>+E16</f>
        <v>Sept-23</v>
      </c>
      <c r="F27" s="208" t="str">
        <f>+F16</f>
        <v>Dic-23</v>
      </c>
      <c r="H27" s="201" t="s">
        <v>29</v>
      </c>
      <c r="I27" s="201" t="s">
        <v>10</v>
      </c>
      <c r="J27" s="206">
        <f>-D24</f>
        <v>24335533</v>
      </c>
      <c r="K27" s="202"/>
      <c r="L27" s="206">
        <f>-F24</f>
        <v>33886203</v>
      </c>
      <c r="M27" s="202"/>
      <c r="N27" s="201"/>
      <c r="O27" s="203"/>
      <c r="P27" s="201"/>
      <c r="Q27" s="183"/>
      <c r="R27" s="175"/>
      <c r="T27" s="183"/>
    </row>
    <row r="28" spans="1:20" ht="15" customHeight="1">
      <c r="B28" s="159" t="s">
        <v>52</v>
      </c>
      <c r="C28" s="160" t="s">
        <v>333</v>
      </c>
      <c r="D28" s="209">
        <f>+Flujo!D24</f>
        <v>201724286</v>
      </c>
      <c r="E28" s="209">
        <f>+Flujo!E24</f>
        <v>171102117</v>
      </c>
      <c r="F28" s="188">
        <f>+[5]cálculos!D28</f>
        <v>227922765</v>
      </c>
      <c r="H28" s="201" t="s">
        <v>30</v>
      </c>
      <c r="I28" s="201" t="s">
        <v>10</v>
      </c>
      <c r="J28" s="206">
        <f>-D21</f>
        <v>37240845</v>
      </c>
      <c r="K28" s="202"/>
      <c r="L28" s="206">
        <f>-F21</f>
        <v>48853914</v>
      </c>
      <c r="M28" s="202"/>
      <c r="N28" s="202"/>
      <c r="O28" s="203"/>
      <c r="P28" s="202"/>
      <c r="Q28" s="144"/>
      <c r="R28" s="175"/>
      <c r="T28" s="144"/>
    </row>
    <row r="29" spans="1:20" ht="15" customHeight="1">
      <c r="A29" s="210"/>
      <c r="B29" s="159" t="s">
        <v>53</v>
      </c>
      <c r="C29" s="160" t="s">
        <v>333</v>
      </c>
      <c r="D29" s="209">
        <f>+Flujo!D31</f>
        <v>-141473209</v>
      </c>
      <c r="E29" s="209">
        <f>+Flujo!E31</f>
        <v>-100437509</v>
      </c>
      <c r="F29" s="188">
        <f>+[5]cálculos!D29</f>
        <v>-150002292</v>
      </c>
      <c r="H29" s="201" t="s">
        <v>62</v>
      </c>
      <c r="I29" s="201" t="s">
        <v>10</v>
      </c>
      <c r="J29" s="206">
        <f>-D25</f>
        <v>60804243</v>
      </c>
      <c r="K29" s="202"/>
      <c r="L29" s="206">
        <f>-F25</f>
        <v>77697080</v>
      </c>
      <c r="M29" s="202"/>
      <c r="N29" s="201"/>
      <c r="O29" s="203"/>
      <c r="P29" s="201"/>
      <c r="R29" s="175"/>
    </row>
    <row r="30" spans="1:20" ht="15" customHeight="1">
      <c r="A30" s="211"/>
      <c r="B30" s="159" t="s">
        <v>54</v>
      </c>
      <c r="C30" s="160" t="s">
        <v>333</v>
      </c>
      <c r="D30" s="209">
        <f>+Flujo!D49</f>
        <v>-94549013</v>
      </c>
      <c r="E30" s="209">
        <f>+Flujo!E49</f>
        <v>-103443511</v>
      </c>
      <c r="F30" s="188">
        <f>+[5]cálculos!D30</f>
        <v>-147670931</v>
      </c>
      <c r="H30" s="201" t="s">
        <v>63</v>
      </c>
      <c r="I30" s="201" t="s">
        <v>10</v>
      </c>
      <c r="J30" s="206">
        <f>-C69</f>
        <v>-45608960</v>
      </c>
      <c r="K30" s="201"/>
      <c r="L30" s="206">
        <f>-E69</f>
        <v>-66560594</v>
      </c>
      <c r="M30" s="201"/>
      <c r="N30" s="201"/>
      <c r="O30" s="203"/>
      <c r="P30" s="201"/>
      <c r="Q30" s="212"/>
      <c r="R30" s="175"/>
      <c r="T30" s="212"/>
    </row>
    <row r="31" spans="1:20" ht="15" customHeight="1">
      <c r="A31" s="211"/>
      <c r="B31" s="153" t="s">
        <v>28</v>
      </c>
      <c r="C31" s="160" t="s">
        <v>333</v>
      </c>
      <c r="D31" s="213">
        <f>SUM(D28:D30)</f>
        <v>-34297936</v>
      </c>
      <c r="E31" s="213">
        <f>SUM(E28:E30)</f>
        <v>-32778903</v>
      </c>
      <c r="F31" s="192">
        <f>+[5]cálculos!D31</f>
        <v>-69750458</v>
      </c>
      <c r="H31" s="201" t="s">
        <v>33</v>
      </c>
      <c r="I31" s="201" t="s">
        <v>10</v>
      </c>
      <c r="J31" s="206">
        <v>0</v>
      </c>
      <c r="K31" s="202"/>
      <c r="L31" s="206">
        <v>0</v>
      </c>
      <c r="M31" s="202"/>
      <c r="N31" s="201"/>
      <c r="O31" s="203"/>
      <c r="P31" s="201">
        <v>37</v>
      </c>
      <c r="R31" s="175"/>
    </row>
    <row r="32" spans="1:20" ht="15" customHeight="1">
      <c r="A32" s="211"/>
      <c r="B32" s="159" t="s">
        <v>31</v>
      </c>
      <c r="C32" s="160" t="s">
        <v>333</v>
      </c>
      <c r="D32" s="209">
        <f>+Flujo!D54</f>
        <v>110795410</v>
      </c>
      <c r="E32" s="209">
        <f>+Flujo!E54</f>
        <v>180545867</v>
      </c>
      <c r="F32" s="188">
        <f>+[5]cálculos!D32</f>
        <v>180545868</v>
      </c>
      <c r="H32" s="214" t="s">
        <v>24</v>
      </c>
      <c r="I32" s="201"/>
      <c r="J32" s="215">
        <f>SUM(J26:J31)</f>
        <v>121101115</v>
      </c>
      <c r="K32" s="202"/>
      <c r="L32" s="215">
        <f>SUM(L26:L31)</f>
        <v>159153862</v>
      </c>
      <c r="M32" s="216">
        <f>ROUND((J32/L32)-1,4)</f>
        <v>-0.23910000000000001</v>
      </c>
      <c r="N32" s="202"/>
      <c r="O32" s="217"/>
      <c r="P32" s="201">
        <v>9</v>
      </c>
      <c r="R32" s="175"/>
    </row>
    <row r="33" spans="2:20" ht="15" customHeight="1" thickBot="1">
      <c r="B33" s="178" t="s">
        <v>32</v>
      </c>
      <c r="C33" s="218" t="s">
        <v>333</v>
      </c>
      <c r="D33" s="219">
        <f>+D32+D31</f>
        <v>76497474</v>
      </c>
      <c r="E33" s="219">
        <f>+E32+E31</f>
        <v>147766964</v>
      </c>
      <c r="F33" s="219">
        <f>+F32+F31</f>
        <v>110795410</v>
      </c>
      <c r="H33" s="214"/>
      <c r="I33" s="201"/>
      <c r="J33" s="202"/>
      <c r="K33" s="202"/>
      <c r="L33" s="202"/>
      <c r="M33" s="202"/>
      <c r="N33" s="202"/>
      <c r="O33" s="203"/>
      <c r="P33" s="201">
        <f>+P31+P32</f>
        <v>46</v>
      </c>
      <c r="Q33" s="220"/>
      <c r="R33" s="175"/>
      <c r="T33" s="220"/>
    </row>
    <row r="34" spans="2:20" ht="15" customHeight="1" thickBot="1">
      <c r="D34" s="1">
        <f>+D33-Balance!D6</f>
        <v>0</v>
      </c>
      <c r="E34" s="1"/>
      <c r="F34" s="1"/>
      <c r="H34" s="214"/>
      <c r="I34" s="201"/>
      <c r="J34" s="202"/>
      <c r="K34" s="221"/>
      <c r="L34" s="202"/>
      <c r="M34" s="221"/>
      <c r="N34" s="202"/>
      <c r="O34" s="217"/>
      <c r="P34" s="222"/>
      <c r="Q34" s="144"/>
      <c r="R34" s="175"/>
      <c r="T34" s="144"/>
    </row>
    <row r="35" spans="2:20" ht="15" customHeight="1">
      <c r="B35" s="223" t="s">
        <v>98</v>
      </c>
      <c r="C35" s="323" t="s">
        <v>466</v>
      </c>
      <c r="D35" s="509">
        <v>719012015</v>
      </c>
      <c r="E35" s="175"/>
      <c r="F35" s="175"/>
      <c r="H35" s="214" t="s">
        <v>58</v>
      </c>
      <c r="I35" s="201"/>
      <c r="J35" s="202">
        <f>+D18</f>
        <v>483042204</v>
      </c>
      <c r="K35" s="202"/>
      <c r="L35" s="202">
        <f>+E18</f>
        <v>475235519</v>
      </c>
      <c r="M35" s="202"/>
      <c r="N35" s="202"/>
      <c r="O35" s="201"/>
      <c r="P35" s="222">
        <f>ROUND((J35/L35)-1,4)</f>
        <v>1.6400000000000001E-2</v>
      </c>
      <c r="R35" s="175"/>
    </row>
    <row r="36" spans="2:20" ht="15" customHeight="1" thickBot="1">
      <c r="B36" s="224" t="s">
        <v>276</v>
      </c>
      <c r="C36" s="324" t="s">
        <v>466</v>
      </c>
      <c r="D36" s="508">
        <v>2670542944</v>
      </c>
      <c r="E36" s="175"/>
      <c r="F36" s="175"/>
      <c r="H36" s="139"/>
      <c r="J36" s="226"/>
      <c r="K36" s="144"/>
      <c r="L36" s="226"/>
      <c r="M36" s="144"/>
      <c r="N36" s="144"/>
      <c r="P36" s="144"/>
      <c r="R36" s="175"/>
    </row>
    <row r="37" spans="2:20" ht="15" customHeight="1" thickBot="1">
      <c r="B37" s="224"/>
      <c r="C37" s="225"/>
      <c r="D37" s="225"/>
      <c r="E37" s="175"/>
      <c r="F37" s="175"/>
      <c r="H37" s="157" t="s">
        <v>34</v>
      </c>
      <c r="J37" s="144"/>
      <c r="K37" s="144"/>
      <c r="L37" s="144"/>
      <c r="M37" s="144"/>
      <c r="P37" s="144"/>
      <c r="Q37" s="183"/>
      <c r="R37" s="183" t="s">
        <v>4</v>
      </c>
      <c r="T37" s="183"/>
    </row>
    <row r="38" spans="2:20" ht="15" customHeight="1">
      <c r="B38" s="224"/>
      <c r="C38" s="225"/>
      <c r="D38" s="227"/>
      <c r="E38" s="175"/>
      <c r="F38" s="175"/>
      <c r="H38" s="139" t="s">
        <v>35</v>
      </c>
      <c r="J38" s="144"/>
      <c r="K38" s="144"/>
      <c r="L38" s="144"/>
      <c r="M38" s="144"/>
      <c r="O38" s="228"/>
      <c r="P38" s="140"/>
      <c r="R38" s="175"/>
    </row>
    <row r="39" spans="2:20" ht="15" customHeight="1" thickBot="1">
      <c r="B39" s="229"/>
      <c r="C39" s="230"/>
      <c r="D39" s="231"/>
      <c r="H39" s="165" t="s">
        <v>36</v>
      </c>
      <c r="I39" s="140" t="s">
        <v>10</v>
      </c>
      <c r="J39" s="166">
        <f>Anualizados!C6</f>
        <v>62605403</v>
      </c>
      <c r="K39" s="552">
        <f>ROUND(J39/J40,4)*100</f>
        <v>7.9399999999999995</v>
      </c>
      <c r="L39" s="166">
        <f>+[5]cálculos!$J$39</f>
        <v>65277259</v>
      </c>
      <c r="M39" s="182">
        <f>ROUND(L39/L40,4)*100</f>
        <v>9.27</v>
      </c>
      <c r="N39" s="183"/>
      <c r="O39" s="169">
        <f>ROUND((K39/M39)-1,4)</f>
        <v>-0.14349999999999999</v>
      </c>
      <c r="P39" s="170">
        <f>ROUND((J39/L39)-1,3)</f>
        <v>-4.1000000000000002E-2</v>
      </c>
      <c r="Q39" s="144">
        <f>+J39-L39</f>
        <v>-2671856</v>
      </c>
      <c r="R39" s="144">
        <v>2366803</v>
      </c>
    </row>
    <row r="40" spans="2:20" ht="15" customHeight="1" thickBot="1">
      <c r="H40" s="140" t="s">
        <v>90</v>
      </c>
      <c r="I40" s="140" t="s">
        <v>4</v>
      </c>
      <c r="J40" s="144">
        <f>ROUND((D13+D35)/2,0)</f>
        <v>788728375</v>
      </c>
      <c r="K40" s="144"/>
      <c r="L40" s="144">
        <f>+[5]cálculos!$J$40</f>
        <v>703822069</v>
      </c>
      <c r="M40" s="144"/>
      <c r="O40" s="232"/>
      <c r="P40" s="170">
        <f>ROUND((J40/L40)-1,3)</f>
        <v>0.121</v>
      </c>
      <c r="Q40" s="144">
        <f>+J40-L40</f>
        <v>84906306</v>
      </c>
      <c r="R40" s="175"/>
    </row>
    <row r="41" spans="2:20" ht="15" customHeight="1">
      <c r="B41" s="233" t="s">
        <v>266</v>
      </c>
      <c r="C41" s="148" t="s">
        <v>433</v>
      </c>
      <c r="D41" s="148" t="s">
        <v>402</v>
      </c>
      <c r="H41" s="139" t="s">
        <v>37</v>
      </c>
      <c r="J41" s="144"/>
      <c r="K41" s="144"/>
      <c r="L41" s="144"/>
      <c r="M41" s="144"/>
      <c r="O41" s="228"/>
      <c r="P41" s="234"/>
      <c r="Q41" s="232"/>
      <c r="R41" s="175"/>
    </row>
    <row r="42" spans="2:20" ht="15" customHeight="1">
      <c r="B42" s="159"/>
      <c r="C42" s="481"/>
      <c r="D42" s="481"/>
      <c r="H42" s="139"/>
      <c r="J42" s="144"/>
      <c r="K42" s="144"/>
      <c r="L42" s="144"/>
      <c r="M42" s="144"/>
      <c r="O42" s="228"/>
      <c r="P42" s="234"/>
      <c r="Q42" s="232"/>
      <c r="R42" s="175"/>
    </row>
    <row r="43" spans="2:20" ht="15" customHeight="1">
      <c r="B43" s="159" t="s">
        <v>404</v>
      </c>
      <c r="C43" s="482">
        <v>42.862000000000002</v>
      </c>
      <c r="D43" s="483"/>
      <c r="H43" s="165" t="s">
        <v>36</v>
      </c>
      <c r="I43" s="140" t="s">
        <v>10</v>
      </c>
      <c r="J43" s="166">
        <f>+J39</f>
        <v>62605403</v>
      </c>
      <c r="K43" s="552">
        <f>ROUND(J43/J44,4)*100</f>
        <v>2.1999999999999997</v>
      </c>
      <c r="L43" s="166">
        <f>+[5]cálculos!$J$43</f>
        <v>65277259</v>
      </c>
      <c r="M43" s="182">
        <f>ROUND(L43/L44,4)*100</f>
        <v>2.44</v>
      </c>
      <c r="N43" s="183"/>
      <c r="O43" s="169">
        <f>ROUND((K43/M43)-1,4)</f>
        <v>-9.8400000000000001E-2</v>
      </c>
      <c r="P43" s="170">
        <f>ROUND((J43/L43)-1,3)</f>
        <v>-4.1000000000000002E-2</v>
      </c>
      <c r="Q43" s="144">
        <f>+J43-L43</f>
        <v>-2671856</v>
      </c>
    </row>
    <row r="44" spans="2:20" ht="15" customHeight="1">
      <c r="B44" s="159" t="s">
        <v>360</v>
      </c>
      <c r="C44" s="482">
        <v>20.040900000000001</v>
      </c>
      <c r="D44" s="482">
        <v>20.040900000000001</v>
      </c>
      <c r="H44" s="140" t="s">
        <v>38</v>
      </c>
      <c r="I44" s="140" t="s">
        <v>4</v>
      </c>
      <c r="J44" s="235">
        <f>ROUND((+D8+D36)/2,0)</f>
        <v>2844553799</v>
      </c>
      <c r="K44" s="144"/>
      <c r="L44" s="235">
        <f>+[5]cálculos!$J$44</f>
        <v>2674203133</v>
      </c>
      <c r="M44" s="144"/>
      <c r="N44" s="195"/>
      <c r="O44" s="232"/>
      <c r="P44" s="170">
        <f>ROUND((J44/L44)-1,3)</f>
        <v>6.4000000000000001E-2</v>
      </c>
      <c r="Q44" s="144">
        <f>+J44-L44</f>
        <v>170350666</v>
      </c>
    </row>
    <row r="45" spans="2:20" ht="15" customHeight="1">
      <c r="B45" s="159" t="s">
        <v>403</v>
      </c>
      <c r="C45" s="483"/>
      <c r="D45" s="482">
        <v>23.23753</v>
      </c>
      <c r="H45" s="139" t="s">
        <v>39</v>
      </c>
      <c r="J45" s="144"/>
      <c r="K45" s="144"/>
      <c r="L45" s="144"/>
      <c r="M45" s="144"/>
      <c r="P45" s="236"/>
    </row>
    <row r="46" spans="2:20" ht="15" customHeight="1">
      <c r="B46" s="159"/>
      <c r="C46" s="484"/>
      <c r="D46" s="484"/>
      <c r="H46" s="165" t="s">
        <v>40</v>
      </c>
      <c r="I46" s="140" t="s">
        <v>10</v>
      </c>
      <c r="J46" s="166">
        <f>+J43*1000</f>
        <v>62605403000</v>
      </c>
      <c r="K46" s="167">
        <f>ROUND(J46/J47,2)</f>
        <v>62.61</v>
      </c>
      <c r="L46" s="166">
        <f>+L39*1000</f>
        <v>65277259000</v>
      </c>
      <c r="M46" s="167">
        <f>ROUND(L46/L47,2)</f>
        <v>65.28</v>
      </c>
      <c r="N46" s="212"/>
      <c r="O46" s="169">
        <f>ROUND((K46/M46)-1,4)</f>
        <v>-4.0899999999999999E-2</v>
      </c>
      <c r="P46" s="170">
        <f>ROUND((J46/L46)-1,3)</f>
        <v>-4.1000000000000002E-2</v>
      </c>
    </row>
    <row r="47" spans="2:20" ht="15" customHeight="1" thickBot="1">
      <c r="B47" s="237"/>
      <c r="C47" s="238">
        <f>SUM(C43:C46)</f>
        <v>62.902900000000002</v>
      </c>
      <c r="D47" s="238">
        <f>SUM(D43:D46)</f>
        <v>43.27843</v>
      </c>
      <c r="E47" s="239"/>
      <c r="F47" s="373"/>
      <c r="H47" s="140" t="s">
        <v>41</v>
      </c>
      <c r="J47" s="240">
        <v>1000000000</v>
      </c>
      <c r="K47" s="144"/>
      <c r="L47" s="240">
        <v>1000000000</v>
      </c>
      <c r="M47" s="144"/>
      <c r="P47" s="170">
        <f>ROUND((J47/L47)-1,3)</f>
        <v>0</v>
      </c>
    </row>
    <row r="48" spans="2:20" ht="15" customHeight="1">
      <c r="E48" s="241"/>
      <c r="F48" s="235"/>
      <c r="J48" s="144"/>
      <c r="K48" s="144"/>
      <c r="L48" s="242" t="s">
        <v>4</v>
      </c>
      <c r="M48" s="144"/>
      <c r="O48" s="228"/>
    </row>
    <row r="49" spans="2:16" ht="15" customHeight="1" thickBot="1">
      <c r="C49" s="241"/>
      <c r="D49" s="241"/>
      <c r="E49" s="241"/>
      <c r="F49" s="235"/>
      <c r="H49" s="139" t="s">
        <v>42</v>
      </c>
      <c r="J49" s="144"/>
      <c r="K49" s="144"/>
      <c r="L49" s="242"/>
      <c r="M49" s="144"/>
      <c r="O49" s="228"/>
    </row>
    <row r="50" spans="2:16" ht="15" customHeight="1">
      <c r="B50" s="146" t="s">
        <v>168</v>
      </c>
      <c r="C50" s="243" t="str">
        <f>+D16</f>
        <v>Sept-24</v>
      </c>
      <c r="D50" s="243" t="str">
        <f>+E16</f>
        <v>Sept-23</v>
      </c>
      <c r="E50" s="243" t="s">
        <v>358</v>
      </c>
      <c r="F50" s="235"/>
      <c r="H50" s="165" t="s">
        <v>43</v>
      </c>
      <c r="I50" s="140" t="s">
        <v>10</v>
      </c>
      <c r="J50" s="244">
        <f>+C47</f>
        <v>62.902900000000002</v>
      </c>
      <c r="K50" s="182">
        <f>ROUND(J50/J51,4)*100</f>
        <v>8.9499999999999993</v>
      </c>
      <c r="L50" s="245">
        <f>+[5]cálculos!$J$50</f>
        <v>43.27843</v>
      </c>
      <c r="M50" s="182">
        <f>ROUND(L50/L51,4)*100</f>
        <v>5.89</v>
      </c>
      <c r="N50" s="220"/>
      <c r="O50" s="169">
        <f>ROUND((K50/M50)-1,4)</f>
        <v>0.51949999999999996</v>
      </c>
      <c r="P50" s="170">
        <f>ROUND((J50/L50)-1,3)</f>
        <v>0.45300000000000001</v>
      </c>
    </row>
    <row r="51" spans="2:16" ht="15" customHeight="1">
      <c r="B51" s="159" t="s">
        <v>99</v>
      </c>
      <c r="C51" s="246">
        <f>+Resultado!D5</f>
        <v>483042204</v>
      </c>
      <c r="D51" s="246">
        <f>+Resultado!E5</f>
        <v>475235519</v>
      </c>
      <c r="E51" s="246">
        <f>+[5]cálculos!C51</f>
        <v>640855854</v>
      </c>
      <c r="F51" s="247"/>
      <c r="H51" s="140" t="s">
        <v>44</v>
      </c>
      <c r="J51" s="248">
        <v>703</v>
      </c>
      <c r="K51" s="195" t="s">
        <v>4</v>
      </c>
      <c r="L51" s="248">
        <v>734.24</v>
      </c>
      <c r="M51" s="195" t="s">
        <v>4</v>
      </c>
      <c r="N51" s="249"/>
      <c r="O51" s="232"/>
      <c r="P51" s="170">
        <f>ROUND((J51/L51)-1,3)</f>
        <v>-4.2999999999999997E-2</v>
      </c>
    </row>
    <row r="52" spans="2:16" ht="15" customHeight="1">
      <c r="B52" s="159" t="s">
        <v>100</v>
      </c>
      <c r="C52" s="246">
        <f>+Resultado!D6</f>
        <v>-61764849</v>
      </c>
      <c r="D52" s="246">
        <f>+Resultado!E6</f>
        <v>-68296428</v>
      </c>
      <c r="E52" s="246">
        <f>+[5]cálculos!C52</f>
        <v>-85362422</v>
      </c>
      <c r="F52" s="247"/>
      <c r="P52" s="236"/>
    </row>
    <row r="53" spans="2:16" ht="15" customHeight="1">
      <c r="B53" s="159" t="s">
        <v>91</v>
      </c>
      <c r="C53" s="246">
        <f>+Resultado!D7</f>
        <v>-60905888</v>
      </c>
      <c r="D53" s="246">
        <f>+Resultado!E7</f>
        <v>-55865906</v>
      </c>
      <c r="E53" s="246">
        <f>+[5]cálculos!C53</f>
        <v>-76753766</v>
      </c>
      <c r="F53" s="247"/>
      <c r="J53" s="241"/>
      <c r="M53" s="250"/>
    </row>
    <row r="54" spans="2:16" ht="15" customHeight="1">
      <c r="B54" s="159" t="s">
        <v>92</v>
      </c>
      <c r="C54" s="246">
        <f>+Resultado!D8</f>
        <v>-60804243</v>
      </c>
      <c r="D54" s="246">
        <f>+Resultado!E8</f>
        <v>-56574217</v>
      </c>
      <c r="E54" s="246">
        <f>+[5]cálculos!C54</f>
        <v>-77697080</v>
      </c>
      <c r="F54" s="247"/>
      <c r="J54" s="241"/>
    </row>
    <row r="55" spans="2:16" ht="15" customHeight="1">
      <c r="B55" s="159" t="s">
        <v>101</v>
      </c>
      <c r="C55" s="246">
        <v>0</v>
      </c>
      <c r="D55" s="246">
        <v>0</v>
      </c>
      <c r="E55" s="246">
        <f>+[5]cálculos!C55</f>
        <v>0</v>
      </c>
      <c r="F55" s="247"/>
      <c r="P55" s="251"/>
    </row>
    <row r="56" spans="2:16" ht="15" customHeight="1">
      <c r="B56" s="159" t="s">
        <v>102</v>
      </c>
      <c r="C56" s="246">
        <f>+Resultado!D9</f>
        <v>-120284220</v>
      </c>
      <c r="D56" s="246">
        <f>+Resultado!E9</f>
        <v>-110473443</v>
      </c>
      <c r="E56" s="246">
        <f>+[5]cálculos!C56</f>
        <v>-149720736</v>
      </c>
      <c r="F56" s="247"/>
    </row>
    <row r="57" spans="2:16" ht="15" customHeight="1">
      <c r="B57" s="153" t="s">
        <v>76</v>
      </c>
      <c r="C57" s="252">
        <f>SUM(C51:C56)</f>
        <v>179283004</v>
      </c>
      <c r="D57" s="252">
        <f>SUM(D51:D56)</f>
        <v>184025525</v>
      </c>
      <c r="E57" s="252">
        <f>+[5]cálculos!C57</f>
        <v>251321850</v>
      </c>
      <c r="F57" s="247"/>
      <c r="H57" s="253"/>
      <c r="I57" s="254"/>
      <c r="J57" s="255"/>
      <c r="K57" s="255"/>
      <c r="L57" s="255"/>
      <c r="M57" s="255"/>
      <c r="O57" s="256"/>
      <c r="P57" s="257"/>
    </row>
    <row r="58" spans="2:16" ht="15" customHeight="1">
      <c r="B58" s="159" t="s">
        <v>77</v>
      </c>
      <c r="C58" s="246">
        <f>+Resultado!D12</f>
        <v>7660824</v>
      </c>
      <c r="D58" s="246">
        <f>+Resultado!E12</f>
        <v>12898623</v>
      </c>
      <c r="E58" s="246">
        <f>+[5]cálculos!C58</f>
        <v>15948850</v>
      </c>
      <c r="F58" s="247"/>
      <c r="H58" s="253"/>
      <c r="I58" s="254"/>
      <c r="J58" s="255"/>
      <c r="K58" s="255"/>
      <c r="L58" s="255"/>
      <c r="M58" s="255"/>
      <c r="O58" s="258"/>
    </row>
    <row r="59" spans="2:16" ht="12">
      <c r="B59" s="159" t="s">
        <v>78</v>
      </c>
      <c r="C59" s="246">
        <f>+Resultado!D13</f>
        <v>-37240845</v>
      </c>
      <c r="D59" s="246">
        <f>+Resultado!E13</f>
        <v>-36684053</v>
      </c>
      <c r="E59" s="246">
        <f>+[5]cálculos!C59</f>
        <v>-48853914</v>
      </c>
      <c r="F59" s="247"/>
      <c r="H59" s="254"/>
      <c r="I59" s="254"/>
      <c r="J59" s="255"/>
      <c r="K59" s="259"/>
      <c r="L59" s="255"/>
      <c r="M59" s="259"/>
      <c r="N59" s="220"/>
      <c r="O59" s="260"/>
      <c r="P59" s="261"/>
    </row>
    <row r="60" spans="2:16" ht="36">
      <c r="B60" s="428" t="s">
        <v>359</v>
      </c>
      <c r="C60" s="246">
        <f>+Resultado!D14</f>
        <v>-6550791</v>
      </c>
      <c r="D60" s="246">
        <f>+Resultado!E14</f>
        <v>-10816911</v>
      </c>
      <c r="E60" s="246">
        <f>+[5]cálculos!C60</f>
        <v>-12316346</v>
      </c>
      <c r="F60" s="247"/>
      <c r="H60" s="254"/>
      <c r="I60" s="254"/>
      <c r="J60" s="255"/>
      <c r="K60" s="259"/>
      <c r="L60" s="255"/>
      <c r="M60" s="259"/>
      <c r="N60" s="220"/>
      <c r="O60" s="260"/>
      <c r="P60" s="261"/>
    </row>
    <row r="61" spans="2:16" ht="12">
      <c r="B61" s="159" t="s">
        <v>79</v>
      </c>
      <c r="C61" s="246">
        <f>+Resultado!D15</f>
        <v>268012</v>
      </c>
      <c r="D61" s="246">
        <f>+Resultado!E15</f>
        <v>2514886</v>
      </c>
      <c r="E61" s="246">
        <f>+[5]cálculos!C61</f>
        <v>1945731</v>
      </c>
      <c r="F61" s="247"/>
      <c r="H61" s="254"/>
      <c r="I61" s="254"/>
      <c r="J61" s="255"/>
      <c r="K61" s="262"/>
      <c r="L61" s="255"/>
      <c r="M61" s="262"/>
      <c r="O61" s="258"/>
      <c r="P61" s="261"/>
    </row>
    <row r="62" spans="2:16" ht="15" customHeight="1">
      <c r="B62" s="159" t="s">
        <v>80</v>
      </c>
      <c r="C62" s="246">
        <f>+Resultado!D16</f>
        <v>-31383348</v>
      </c>
      <c r="D62" s="246">
        <f>+Resultado!E16</f>
        <v>-29887119</v>
      </c>
      <c r="E62" s="246">
        <f>+[5]cálculos!C62</f>
        <v>-45658660</v>
      </c>
      <c r="F62" s="247"/>
      <c r="H62" s="253"/>
      <c r="I62" s="254"/>
      <c r="J62" s="255"/>
      <c r="K62" s="255"/>
      <c r="L62" s="255"/>
      <c r="M62" s="255"/>
      <c r="O62" s="258"/>
    </row>
    <row r="63" spans="2:16" ht="15" customHeight="1">
      <c r="B63" s="153" t="s">
        <v>81</v>
      </c>
      <c r="C63" s="252">
        <f>SUM(C58:C62)</f>
        <v>-67246148</v>
      </c>
      <c r="D63" s="252">
        <f>SUM(D58:D62)</f>
        <v>-61974574</v>
      </c>
      <c r="E63" s="252">
        <f>+[5]cálculos!C63</f>
        <v>-88934339</v>
      </c>
      <c r="F63" s="247"/>
      <c r="H63" s="254"/>
      <c r="I63" s="263"/>
      <c r="J63" s="255"/>
      <c r="K63" s="259"/>
      <c r="L63" s="255"/>
      <c r="M63" s="259"/>
      <c r="N63" s="264"/>
      <c r="O63" s="260"/>
      <c r="P63" s="261"/>
    </row>
    <row r="64" spans="2:16" ht="15" customHeight="1">
      <c r="B64" s="159" t="s">
        <v>87</v>
      </c>
      <c r="C64" s="246">
        <f>+Resultado!D10</f>
        <v>2237091</v>
      </c>
      <c r="D64" s="246">
        <f>+Resultado!E10</f>
        <v>-1774124</v>
      </c>
      <c r="E64" s="246">
        <f>+[5]cálculos!C64</f>
        <v>3336545</v>
      </c>
      <c r="F64" s="247"/>
      <c r="H64" s="254"/>
      <c r="I64" s="254"/>
      <c r="J64" s="255"/>
      <c r="K64" s="262"/>
      <c r="L64" s="255"/>
      <c r="M64" s="262"/>
      <c r="N64" s="144"/>
      <c r="O64" s="258"/>
      <c r="P64" s="261"/>
    </row>
    <row r="65" spans="2:15" ht="15" customHeight="1">
      <c r="B65" s="159" t="s">
        <v>82</v>
      </c>
      <c r="C65" s="246"/>
      <c r="D65" s="246"/>
      <c r="E65" s="246">
        <f>+[5]cálculos!C65</f>
        <v>0</v>
      </c>
      <c r="F65" s="247"/>
      <c r="H65" s="139"/>
      <c r="J65" s="144"/>
      <c r="K65" s="144"/>
      <c r="L65" s="144"/>
      <c r="M65" s="144"/>
      <c r="O65" s="258"/>
    </row>
    <row r="66" spans="2:15" ht="15" customHeight="1">
      <c r="B66" s="153" t="s">
        <v>83</v>
      </c>
      <c r="C66" s="252">
        <f>+C57+C63+C64+C65</f>
        <v>114273947</v>
      </c>
      <c r="D66" s="252">
        <f>+D57+D63+D64+D65</f>
        <v>120276827</v>
      </c>
      <c r="E66" s="252">
        <f>+[5]cálculos!C66</f>
        <v>165724056</v>
      </c>
      <c r="F66" s="247"/>
      <c r="L66" s="265"/>
    </row>
    <row r="67" spans="2:15" ht="15" customHeight="1">
      <c r="B67" s="159" t="s">
        <v>84</v>
      </c>
      <c r="C67" s="246">
        <f>+Resultado!D19</f>
        <v>-24335533</v>
      </c>
      <c r="D67" s="246">
        <f>+Resultado!E19</f>
        <v>-25131820</v>
      </c>
      <c r="E67" s="246">
        <f>+[5]cálculos!C67</f>
        <v>-33886203</v>
      </c>
      <c r="F67" s="247"/>
      <c r="K67" s="266"/>
      <c r="M67" s="266"/>
    </row>
    <row r="68" spans="2:15" ht="15" customHeight="1">
      <c r="B68" s="159" t="s">
        <v>294</v>
      </c>
      <c r="C68" s="246">
        <f>+Resultado!D21</f>
        <v>0</v>
      </c>
      <c r="D68" s="246">
        <f>+Resultado!E21</f>
        <v>0</v>
      </c>
      <c r="E68" s="246">
        <f>+[5]cálculos!C68</f>
        <v>0</v>
      </c>
      <c r="F68" s="247"/>
      <c r="K68" s="266"/>
      <c r="M68" s="266"/>
    </row>
    <row r="69" spans="2:15" ht="15" customHeight="1">
      <c r="B69" s="159" t="s">
        <v>85</v>
      </c>
      <c r="C69" s="246">
        <f>+Resultado!D26</f>
        <v>45608960</v>
      </c>
      <c r="D69" s="246">
        <f>+Resultado!E26</f>
        <v>48143697</v>
      </c>
      <c r="E69" s="246">
        <f>+[5]cálculos!C69</f>
        <v>66560594</v>
      </c>
      <c r="F69" s="247"/>
    </row>
    <row r="70" spans="2:15" ht="15" customHeight="1">
      <c r="B70" s="267" t="s">
        <v>88</v>
      </c>
      <c r="C70" s="268">
        <f>+C66+C67+C68</f>
        <v>89938414</v>
      </c>
      <c r="D70" s="268">
        <f>+D66+D67+D68</f>
        <v>95145007</v>
      </c>
      <c r="E70" s="268">
        <f>+[5]cálculos!C70</f>
        <v>131837853</v>
      </c>
      <c r="F70" s="247"/>
    </row>
    <row r="71" spans="2:15" ht="15" customHeight="1" thickBot="1">
      <c r="B71" s="269" t="s">
        <v>86</v>
      </c>
      <c r="C71" s="270">
        <f>+C70-C69</f>
        <v>44329454</v>
      </c>
      <c r="D71" s="270">
        <f>+D70-D69</f>
        <v>47001310</v>
      </c>
      <c r="E71" s="270">
        <f>+[5]cálculos!C71</f>
        <v>65277259</v>
      </c>
      <c r="F71" s="247"/>
    </row>
    <row r="72" spans="2:15" ht="15" customHeight="1">
      <c r="D72" s="247"/>
    </row>
    <row r="73" spans="2:15" ht="15" customHeight="1">
      <c r="B73" s="477" t="s">
        <v>400</v>
      </c>
      <c r="C73" s="247">
        <f>+C71-Resultado!D25</f>
        <v>0</v>
      </c>
      <c r="D73" s="247">
        <f>+D71-Resultado!E25</f>
        <v>0</v>
      </c>
      <c r="E73" s="247">
        <f>+E71-Anualizados!C3</f>
        <v>0</v>
      </c>
    </row>
    <row r="74" spans="2:15" ht="15" customHeight="1">
      <c r="D74" s="247"/>
    </row>
    <row r="75" spans="2:15" ht="15" customHeight="1">
      <c r="C75" s="271"/>
    </row>
    <row r="78" spans="2:15" ht="15" customHeight="1">
      <c r="C78" s="247"/>
    </row>
    <row r="102" spans="10:14" ht="15" customHeight="1">
      <c r="J102" s="272"/>
      <c r="K102" s="272"/>
      <c r="M102" s="272"/>
      <c r="N102" s="272"/>
    </row>
    <row r="103" spans="10:14" ht="15" customHeight="1">
      <c r="J103" s="272"/>
      <c r="K103" s="272"/>
      <c r="M103" s="272"/>
      <c r="N103" s="272"/>
    </row>
    <row r="104" spans="10:14" ht="15" customHeight="1">
      <c r="J104" s="272"/>
      <c r="K104" s="272"/>
      <c r="M104" s="272"/>
      <c r="N104" s="272"/>
    </row>
    <row r="105" spans="10:14" ht="15" customHeight="1">
      <c r="J105" s="272"/>
      <c r="K105" s="272"/>
      <c r="M105" s="272"/>
      <c r="N105" s="272"/>
    </row>
    <row r="106" spans="10:14" ht="15" customHeight="1">
      <c r="J106" s="272"/>
      <c r="K106" s="272"/>
      <c r="M106" s="272"/>
      <c r="N106" s="272"/>
    </row>
    <row r="107" spans="10:14" ht="15" customHeight="1">
      <c r="J107" s="272"/>
      <c r="K107" s="272"/>
      <c r="M107" s="272"/>
      <c r="N107" s="272"/>
    </row>
    <row r="108" spans="10:14" ht="15" customHeight="1">
      <c r="J108" s="272"/>
      <c r="K108" s="272"/>
      <c r="L108" s="272"/>
      <c r="M108" s="272"/>
      <c r="N108" s="272"/>
    </row>
    <row r="109" spans="10:14" ht="15" customHeight="1">
      <c r="J109" s="272"/>
      <c r="K109" s="272"/>
      <c r="L109" s="272"/>
      <c r="M109" s="272"/>
      <c r="N109" s="272"/>
    </row>
    <row r="110" spans="10:14" ht="15" customHeight="1">
      <c r="J110" s="272"/>
      <c r="K110" s="272"/>
      <c r="L110" s="272"/>
      <c r="M110" s="272"/>
    </row>
    <row r="111" spans="10:14" ht="15" customHeight="1">
      <c r="J111" s="272"/>
      <c r="K111" s="272"/>
      <c r="L111" s="272"/>
      <c r="M111" s="272"/>
    </row>
    <row r="112" spans="10:14" ht="15" customHeight="1">
      <c r="J112" s="272"/>
      <c r="K112" s="272"/>
      <c r="L112" s="272"/>
      <c r="M112" s="272"/>
    </row>
    <row r="113" spans="10:13" ht="15" customHeight="1">
      <c r="J113" s="272"/>
      <c r="K113" s="272"/>
      <c r="L113" s="272"/>
      <c r="M113" s="272"/>
    </row>
    <row r="114" spans="10:13" ht="15" customHeight="1">
      <c r="J114" s="272"/>
      <c r="K114" s="272"/>
      <c r="L114" s="272"/>
      <c r="M114" s="272"/>
    </row>
    <row r="115" spans="10:13" ht="15" customHeight="1">
      <c r="J115" s="272"/>
      <c r="K115" s="272"/>
      <c r="L115" s="272"/>
      <c r="M115" s="272"/>
    </row>
    <row r="116" spans="10:13" ht="15" customHeight="1">
      <c r="J116" s="272"/>
      <c r="K116" s="272"/>
      <c r="L116" s="272"/>
      <c r="M116" s="272"/>
    </row>
    <row r="117" spans="10:13" ht="15" customHeight="1">
      <c r="J117" s="272"/>
      <c r="K117" s="272"/>
      <c r="L117" s="272"/>
      <c r="M117" s="272"/>
    </row>
    <row r="118" spans="10:13" ht="15" customHeight="1">
      <c r="J118" s="272"/>
      <c r="K118" s="272"/>
      <c r="L118" s="272"/>
      <c r="M118" s="272"/>
    </row>
    <row r="119" spans="10:13" ht="15" customHeight="1">
      <c r="J119" s="272"/>
      <c r="K119" s="272"/>
      <c r="L119" s="272"/>
      <c r="M119" s="272"/>
    </row>
    <row r="120" spans="10:13" ht="15" customHeight="1">
      <c r="J120" s="272"/>
      <c r="K120" s="272"/>
      <c r="L120" s="272"/>
      <c r="M120" s="272"/>
    </row>
    <row r="121" spans="10:13" ht="15" customHeight="1">
      <c r="J121" s="272"/>
      <c r="K121" s="272"/>
      <c r="L121" s="272"/>
      <c r="M121" s="272"/>
    </row>
    <row r="122" spans="10:13" ht="15" customHeight="1">
      <c r="J122" s="272"/>
      <c r="K122" s="272"/>
      <c r="L122" s="272"/>
      <c r="M122" s="272"/>
    </row>
    <row r="123" spans="10:13" ht="15" customHeight="1">
      <c r="J123" s="272"/>
      <c r="K123" s="272"/>
      <c r="L123" s="272"/>
      <c r="M123" s="272"/>
    </row>
    <row r="124" spans="10:13" ht="15" customHeight="1">
      <c r="J124" s="272"/>
      <c r="K124" s="272"/>
      <c r="M124" s="272"/>
    </row>
    <row r="125" spans="10:13" ht="15" customHeight="1">
      <c r="J125" s="272"/>
      <c r="K125" s="272"/>
      <c r="L125" s="272"/>
      <c r="M125" s="272"/>
    </row>
    <row r="126" spans="10:13" ht="15" customHeight="1">
      <c r="J126" s="272"/>
      <c r="K126" s="272"/>
      <c r="L126" s="272"/>
      <c r="M126" s="272"/>
    </row>
    <row r="127" spans="10:13" ht="15" customHeight="1">
      <c r="J127" s="272"/>
      <c r="K127" s="272"/>
      <c r="L127" s="272"/>
      <c r="M127" s="272"/>
    </row>
    <row r="128" spans="10:13" ht="15" customHeight="1">
      <c r="J128" s="272"/>
      <c r="K128" s="272"/>
      <c r="L128" s="272"/>
      <c r="M128" s="272"/>
    </row>
    <row r="129" spans="10:13" ht="15" customHeight="1">
      <c r="J129" s="272"/>
      <c r="K129" s="272"/>
      <c r="L129" s="272"/>
      <c r="M129" s="272"/>
    </row>
    <row r="130" spans="10:13" ht="15" customHeight="1">
      <c r="J130" s="272"/>
      <c r="K130" s="272"/>
      <c r="L130" s="272"/>
      <c r="M130" s="272"/>
    </row>
    <row r="131" spans="10:13" ht="15" customHeight="1">
      <c r="J131" s="272"/>
      <c r="K131" s="272"/>
      <c r="L131" s="272"/>
      <c r="M131" s="272"/>
    </row>
    <row r="132" spans="10:13" ht="15" customHeight="1">
      <c r="J132" s="272"/>
      <c r="K132" s="272"/>
      <c r="M132" s="272"/>
    </row>
    <row r="133" spans="10:13" ht="15" customHeight="1">
      <c r="J133" s="272"/>
      <c r="K133" s="272"/>
      <c r="M133" s="272"/>
    </row>
    <row r="134" spans="10:13" ht="15" customHeight="1">
      <c r="J134" s="272"/>
      <c r="K134" s="272"/>
      <c r="M134" s="272"/>
    </row>
    <row r="135" spans="10:13" ht="15" customHeight="1">
      <c r="J135" s="272"/>
      <c r="K135" s="272"/>
      <c r="M135" s="272"/>
    </row>
    <row r="136" spans="10:13" ht="15" customHeight="1">
      <c r="J136" s="272"/>
      <c r="K136" s="272"/>
      <c r="M136" s="272"/>
    </row>
    <row r="137" spans="10:13" ht="15" customHeight="1">
      <c r="J137" s="272"/>
      <c r="K137" s="272"/>
      <c r="M137" s="272"/>
    </row>
    <row r="138" spans="10:13" ht="15" customHeight="1">
      <c r="J138" s="272"/>
      <c r="K138" s="272"/>
      <c r="M138" s="272"/>
    </row>
    <row r="139" spans="10:13" ht="15" customHeight="1">
      <c r="J139" s="272"/>
      <c r="K139" s="272"/>
      <c r="M139" s="272"/>
    </row>
    <row r="140" spans="10:13" ht="15" customHeight="1">
      <c r="J140" s="272"/>
      <c r="K140" s="272"/>
      <c r="M140" s="272"/>
    </row>
    <row r="141" spans="10:13" ht="15" customHeight="1">
      <c r="J141" s="272"/>
      <c r="K141" s="272"/>
      <c r="M141" s="272"/>
    </row>
    <row r="142" spans="10:13" ht="15" customHeight="1">
      <c r="J142" s="272"/>
      <c r="K142" s="272"/>
      <c r="M142" s="272"/>
    </row>
    <row r="143" spans="10:13" ht="15" customHeight="1">
      <c r="J143" s="272"/>
      <c r="K143" s="272"/>
      <c r="M143" s="272"/>
    </row>
    <row r="144" spans="10:13" ht="15" customHeight="1">
      <c r="J144" s="272"/>
      <c r="K144" s="272"/>
      <c r="M144" s="272"/>
    </row>
    <row r="145" spans="10:13" ht="15" customHeight="1">
      <c r="J145" s="272"/>
      <c r="K145" s="272"/>
      <c r="M145" s="272"/>
    </row>
    <row r="146" spans="10:13" ht="15" customHeight="1">
      <c r="J146" s="272"/>
      <c r="K146" s="272"/>
      <c r="M146" s="272"/>
    </row>
    <row r="147" spans="10:13" ht="15" customHeight="1">
      <c r="J147" s="272"/>
      <c r="K147" s="272"/>
      <c r="M147" s="272"/>
    </row>
    <row r="148" spans="10:13" ht="15" customHeight="1">
      <c r="J148" s="272"/>
      <c r="K148" s="272"/>
      <c r="M148" s="272"/>
    </row>
    <row r="149" spans="10:13" ht="15" customHeight="1">
      <c r="J149" s="272"/>
      <c r="K149" s="272"/>
      <c r="M149" s="272"/>
    </row>
    <row r="150" spans="10:13" ht="15" customHeight="1">
      <c r="J150" s="232"/>
      <c r="K150" s="272"/>
      <c r="M150" s="272"/>
    </row>
    <row r="151" spans="10:13" ht="15" customHeight="1">
      <c r="J151" s="272"/>
      <c r="K151" s="272"/>
      <c r="M151" s="272"/>
    </row>
    <row r="152" spans="10:13" ht="15" customHeight="1">
      <c r="J152" s="272"/>
      <c r="K152" s="272"/>
      <c r="M152" s="272"/>
    </row>
    <row r="153" spans="10:13" ht="15" customHeight="1">
      <c r="J153" s="272"/>
      <c r="K153" s="272"/>
      <c r="M153" s="272"/>
    </row>
    <row r="154" spans="10:13" ht="15" customHeight="1">
      <c r="J154" s="272"/>
      <c r="K154" s="272"/>
      <c r="M154" s="272"/>
    </row>
    <row r="155" spans="10:13" ht="15" customHeight="1">
      <c r="J155" s="272"/>
      <c r="K155" s="272"/>
      <c r="L155" s="228"/>
      <c r="M155" s="272"/>
    </row>
    <row r="156" spans="10:13" ht="15" customHeight="1">
      <c r="J156" s="272"/>
      <c r="K156" s="272"/>
      <c r="L156" s="228"/>
      <c r="M156" s="272"/>
    </row>
    <row r="157" spans="10:13" ht="15" customHeight="1">
      <c r="J157" s="272"/>
      <c r="K157" s="272"/>
      <c r="L157" s="228"/>
      <c r="M157" s="272"/>
    </row>
    <row r="158" spans="10:13" ht="15" customHeight="1">
      <c r="J158" s="272"/>
      <c r="K158" s="272"/>
      <c r="L158" s="228"/>
      <c r="M158" s="272"/>
    </row>
    <row r="159" spans="10:13" ht="15" customHeight="1">
      <c r="J159" s="272"/>
      <c r="K159" s="272"/>
      <c r="L159" s="228"/>
      <c r="M159" s="272"/>
    </row>
    <row r="160" spans="10:13" ht="15" customHeight="1">
      <c r="J160" s="272"/>
      <c r="K160" s="272"/>
      <c r="L160" s="228"/>
      <c r="M160" s="272"/>
    </row>
    <row r="161" spans="10:13" ht="15" customHeight="1">
      <c r="J161" s="272"/>
      <c r="K161" s="272"/>
      <c r="L161" s="228"/>
      <c r="M161" s="272"/>
    </row>
    <row r="162" spans="10:13" ht="15" customHeight="1">
      <c r="J162" s="272"/>
      <c r="K162" s="272"/>
      <c r="L162" s="228"/>
      <c r="M162" s="272"/>
    </row>
    <row r="163" spans="10:13" ht="15" customHeight="1">
      <c r="L163" s="228"/>
    </row>
    <row r="164" spans="10:13" ht="15" customHeight="1">
      <c r="L164" s="228"/>
    </row>
    <row r="165" spans="10:13" ht="15" customHeight="1">
      <c r="L165" s="228"/>
    </row>
    <row r="166" spans="10:13" ht="15" customHeight="1">
      <c r="L166" s="228"/>
    </row>
    <row r="167" spans="10:13" ht="15" customHeight="1">
      <c r="L167" s="228"/>
    </row>
    <row r="186" spans="10:13" ht="15" customHeight="1">
      <c r="L186" s="142"/>
    </row>
    <row r="188" spans="10:13" ht="15" customHeight="1">
      <c r="J188" s="272"/>
      <c r="K188" s="272"/>
      <c r="L188" s="272"/>
      <c r="M188" s="272"/>
    </row>
    <row r="189" spans="10:13" ht="15" customHeight="1">
      <c r="J189" s="272"/>
      <c r="K189" s="272"/>
      <c r="L189" s="272"/>
      <c r="M189" s="272"/>
    </row>
    <row r="190" spans="10:13" ht="15" customHeight="1">
      <c r="J190" s="272"/>
      <c r="K190" s="272"/>
      <c r="L190" s="272"/>
      <c r="M190" s="272"/>
    </row>
    <row r="191" spans="10:13" ht="15" customHeight="1">
      <c r="J191" s="272"/>
      <c r="K191" s="272"/>
      <c r="L191" s="272"/>
      <c r="M191" s="272"/>
    </row>
    <row r="192" spans="10:13" ht="15" customHeight="1">
      <c r="J192" s="272"/>
      <c r="K192" s="272"/>
      <c r="L192" s="272"/>
      <c r="M192" s="272"/>
    </row>
    <row r="193" spans="10:13" ht="15" customHeight="1">
      <c r="J193" s="272"/>
      <c r="K193" s="272"/>
      <c r="L193" s="272"/>
      <c r="M193" s="272"/>
    </row>
    <row r="194" spans="10:13" ht="15" customHeight="1">
      <c r="J194" s="272"/>
      <c r="K194" s="272"/>
      <c r="L194" s="272"/>
      <c r="M194" s="272"/>
    </row>
    <row r="195" spans="10:13" ht="15" customHeight="1">
      <c r="J195" s="272"/>
      <c r="K195" s="272"/>
      <c r="L195" s="272"/>
      <c r="M195" s="272"/>
    </row>
    <row r="196" spans="10:13" ht="15" customHeight="1">
      <c r="J196" s="272"/>
      <c r="K196" s="272"/>
      <c r="L196" s="272"/>
      <c r="M196" s="272"/>
    </row>
    <row r="197" spans="10:13" ht="15" customHeight="1">
      <c r="J197" s="272"/>
      <c r="K197" s="272"/>
      <c r="L197" s="272"/>
      <c r="M197" s="272"/>
    </row>
    <row r="198" spans="10:13" ht="15" customHeight="1">
      <c r="J198" s="272"/>
      <c r="K198" s="272"/>
      <c r="M198" s="272"/>
    </row>
    <row r="199" spans="10:13" ht="15" customHeight="1">
      <c r="J199" s="272"/>
      <c r="K199" s="272"/>
      <c r="M199" s="272"/>
    </row>
    <row r="200" spans="10:13" ht="15" customHeight="1">
      <c r="J200" s="272"/>
      <c r="K200" s="272"/>
      <c r="M200" s="272"/>
    </row>
    <row r="201" spans="10:13" ht="15" customHeight="1">
      <c r="J201" s="272"/>
      <c r="K201" s="272"/>
      <c r="M201" s="272"/>
    </row>
    <row r="202" spans="10:13" ht="15" customHeight="1">
      <c r="J202" s="272"/>
      <c r="K202" s="272"/>
      <c r="M202" s="272"/>
    </row>
    <row r="203" spans="10:13" ht="15" customHeight="1">
      <c r="J203" s="272"/>
      <c r="K203" s="272"/>
      <c r="M203" s="272"/>
    </row>
    <row r="204" spans="10:13" ht="15" customHeight="1">
      <c r="J204" s="272"/>
      <c r="K204" s="272"/>
      <c r="M204" s="272"/>
    </row>
    <row r="205" spans="10:13" ht="15" customHeight="1">
      <c r="J205" s="272"/>
      <c r="K205" s="272"/>
      <c r="M205" s="272"/>
    </row>
    <row r="206" spans="10:13" ht="15" customHeight="1">
      <c r="J206" s="272"/>
      <c r="K206" s="272"/>
      <c r="M206" s="272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00B0F0"/>
  </sheetPr>
  <dimension ref="A2:L69"/>
  <sheetViews>
    <sheetView showGridLines="0" topLeftCell="A37" zoomScale="90" zoomScaleNormal="90" workbookViewId="0">
      <selection activeCell="G36" sqref="G36"/>
    </sheetView>
  </sheetViews>
  <sheetFormatPr baseColWidth="10" defaultColWidth="11.42578125" defaultRowHeight="12.75"/>
  <cols>
    <col min="1" max="1" width="10.42578125" style="111" bestFit="1" customWidth="1"/>
    <col min="2" max="2" width="56.7109375" style="128" customWidth="1"/>
    <col min="3" max="3" width="7.7109375" style="128" customWidth="1"/>
    <col min="4" max="5" width="14.42578125" style="128" customWidth="1"/>
    <col min="6" max="6" width="8" style="128" customWidth="1"/>
    <col min="7" max="7" width="15.140625" style="282" customWidth="1"/>
    <col min="8" max="8" width="11.42578125" style="286"/>
    <col min="9" max="9" width="13" style="111" bestFit="1" customWidth="1"/>
    <col min="10" max="16384" width="11.42578125" style="111"/>
  </cols>
  <sheetData>
    <row r="2" spans="1:10" ht="21.75" customHeight="1" thickBot="1"/>
    <row r="3" spans="1:10" s="102" customFormat="1" ht="18" customHeight="1">
      <c r="A3" s="127"/>
      <c r="B3" s="535" t="s">
        <v>105</v>
      </c>
      <c r="C3" s="537" t="s">
        <v>106</v>
      </c>
      <c r="D3" s="56">
        <v>45565</v>
      </c>
      <c r="E3" s="56">
        <v>45291</v>
      </c>
      <c r="F3" s="129"/>
      <c r="G3" s="539" t="s">
        <v>226</v>
      </c>
      <c r="H3" s="540"/>
      <c r="J3" s="102" t="s">
        <v>226</v>
      </c>
    </row>
    <row r="4" spans="1:10" s="102" customFormat="1" ht="18" customHeight="1">
      <c r="A4" s="103"/>
      <c r="B4" s="536"/>
      <c r="C4" s="538"/>
      <c r="D4" s="58" t="s">
        <v>8</v>
      </c>
      <c r="E4" s="59" t="s">
        <v>8</v>
      </c>
      <c r="F4" s="130"/>
      <c r="G4" s="299" t="s">
        <v>8</v>
      </c>
      <c r="H4" s="300" t="s">
        <v>70</v>
      </c>
      <c r="J4" s="102" t="s">
        <v>8</v>
      </c>
    </row>
    <row r="5" spans="1:10" s="102" customFormat="1" ht="21" customHeight="1">
      <c r="A5" s="103"/>
      <c r="B5" s="60" t="s">
        <v>107</v>
      </c>
      <c r="C5" s="61"/>
      <c r="D5" s="62"/>
      <c r="E5" s="63"/>
      <c r="F5" s="131"/>
      <c r="G5" s="283"/>
      <c r="H5" s="301"/>
    </row>
    <row r="6" spans="1:10" s="102" customFormat="1" ht="21" customHeight="1">
      <c r="A6" s="103"/>
      <c r="B6" s="64" t="s">
        <v>108</v>
      </c>
      <c r="C6" s="61">
        <v>4</v>
      </c>
      <c r="D6" s="287">
        <f>VLOOKUP(B6,[7]Activo!$B$2:$E$28,3,0)</f>
        <v>76497474</v>
      </c>
      <c r="E6" s="287">
        <f>VLOOKUP(B6,[2]Activo!$B$2:$E$28,4,0)</f>
        <v>110795410</v>
      </c>
      <c r="F6" s="132"/>
      <c r="G6" s="283">
        <f>ROUND(+(D6-E6),0)</f>
        <v>-34297936</v>
      </c>
      <c r="H6" s="301">
        <f>IFERROR(G6/E6,1)</f>
        <v>-0.30956098271580024</v>
      </c>
      <c r="J6" s="102">
        <v>-13359768</v>
      </c>
    </row>
    <row r="7" spans="1:10" s="102" customFormat="1" ht="21" customHeight="1">
      <c r="A7" s="103"/>
      <c r="B7" s="64" t="s">
        <v>232</v>
      </c>
      <c r="D7" s="287">
        <f>VLOOKUP(B7,[7]Activo!$B$2:$E$28,3,0)</f>
        <v>6893234</v>
      </c>
      <c r="E7" s="287">
        <f>VLOOKUP(B7,[2]Activo!$B$2:$E$28,4,0)</f>
        <v>0</v>
      </c>
      <c r="F7" s="132"/>
      <c r="G7" s="283">
        <f t="shared" ref="G7:G14" si="0">ROUND(+(D7-E7),0)</f>
        <v>6893234</v>
      </c>
      <c r="H7" s="301">
        <f t="shared" ref="H7:H54" si="1">IFERROR(G7/E7,1)</f>
        <v>1</v>
      </c>
      <c r="J7" s="102">
        <v>0</v>
      </c>
    </row>
    <row r="8" spans="1:10" s="102" customFormat="1" ht="21" customHeight="1">
      <c r="A8" s="103"/>
      <c r="B8" s="64" t="s">
        <v>109</v>
      </c>
      <c r="C8" s="61"/>
      <c r="D8" s="287">
        <f>VLOOKUP(B8,[7]Activo!$B$2:$E$28,3,0)</f>
        <v>4537051</v>
      </c>
      <c r="E8" s="287">
        <f>VLOOKUP(B8,[2]Activo!$B$2:$E$28,4,0)</f>
        <v>7180555</v>
      </c>
      <c r="F8" s="132"/>
      <c r="G8" s="283">
        <f t="shared" si="0"/>
        <v>-2643504</v>
      </c>
      <c r="H8" s="301">
        <f t="shared" si="1"/>
        <v>-0.36814758747756965</v>
      </c>
      <c r="J8" s="102">
        <v>-2449476</v>
      </c>
    </row>
    <row r="9" spans="1:10" s="102" customFormat="1" ht="21" customHeight="1">
      <c r="A9" s="103"/>
      <c r="B9" s="64" t="s">
        <v>438</v>
      </c>
      <c r="C9" s="65">
        <v>5</v>
      </c>
      <c r="D9" s="287">
        <f>VLOOKUP(B9,[7]Activo!$B$2:$E$28,3,0)</f>
        <v>116517448</v>
      </c>
      <c r="E9" s="287">
        <f>VLOOKUP(B9,[2]Activo!$B$2:$E$28,4,0)</f>
        <v>132009297</v>
      </c>
      <c r="F9" s="132"/>
      <c r="G9" s="283">
        <f t="shared" si="0"/>
        <v>-15491849</v>
      </c>
      <c r="H9" s="301">
        <f t="shared" si="1"/>
        <v>-0.11735422695266683</v>
      </c>
      <c r="J9" s="102">
        <v>-11230792</v>
      </c>
    </row>
    <row r="10" spans="1:10" s="102" customFormat="1" ht="21" customHeight="1">
      <c r="A10" s="103"/>
      <c r="B10" s="64" t="s">
        <v>110</v>
      </c>
      <c r="C10" s="65">
        <v>6</v>
      </c>
      <c r="D10" s="287">
        <f>VLOOKUP(B10,[7]Activo!$B$2:$E$28,3,0)</f>
        <v>15152</v>
      </c>
      <c r="E10" s="287">
        <f>VLOOKUP(B10,[2]Activo!$B$2:$E$28,4,0)</f>
        <v>14381</v>
      </c>
      <c r="F10" s="132"/>
      <c r="G10" s="283">
        <f t="shared" si="0"/>
        <v>771</v>
      </c>
      <c r="H10" s="301">
        <f t="shared" si="1"/>
        <v>5.3612405256936238E-2</v>
      </c>
      <c r="J10" s="102">
        <v>63182</v>
      </c>
    </row>
    <row r="11" spans="1:10" s="102" customFormat="1" ht="21" customHeight="1">
      <c r="A11" s="103"/>
      <c r="B11" s="64" t="s">
        <v>111</v>
      </c>
      <c r="C11" s="65">
        <v>7</v>
      </c>
      <c r="D11" s="287">
        <f>VLOOKUP(B11,[7]Activo!$B$2:$E$28,3,0)</f>
        <v>12004728</v>
      </c>
      <c r="E11" s="287">
        <f>VLOOKUP(B11,[2]Activo!$B$2:$E$28,4,0)</f>
        <v>12812483</v>
      </c>
      <c r="F11" s="132"/>
      <c r="G11" s="283">
        <f t="shared" si="0"/>
        <v>-807755</v>
      </c>
      <c r="H11" s="301">
        <f t="shared" si="1"/>
        <v>-6.3044376332050553E-2</v>
      </c>
      <c r="J11" s="102">
        <v>268157</v>
      </c>
    </row>
    <row r="12" spans="1:10" s="102" customFormat="1" ht="21" customHeight="1" thickBot="1">
      <c r="A12" s="103"/>
      <c r="B12" s="64" t="s">
        <v>439</v>
      </c>
      <c r="C12" s="65">
        <v>8</v>
      </c>
      <c r="D12" s="287">
        <f>VLOOKUP(B12,[7]Activo!$B$2:$E$28,3,0)</f>
        <v>9671759</v>
      </c>
      <c r="E12" s="287">
        <f>VLOOKUP(B12,[2]Activo!$B$2:$E$28,4,0)</f>
        <v>13965510</v>
      </c>
      <c r="F12" s="132"/>
      <c r="G12" s="283">
        <f t="shared" si="0"/>
        <v>-4293751</v>
      </c>
      <c r="H12" s="301">
        <f t="shared" si="1"/>
        <v>-0.30745393472920074</v>
      </c>
      <c r="J12" s="102">
        <v>4132481</v>
      </c>
    </row>
    <row r="13" spans="1:10" s="102" customFormat="1" ht="36" customHeight="1" thickBot="1">
      <c r="A13" s="103"/>
      <c r="B13" s="66" t="s">
        <v>112</v>
      </c>
      <c r="C13" s="67"/>
      <c r="D13" s="289">
        <f>SUM(D6:D12)</f>
        <v>226136846</v>
      </c>
      <c r="E13" s="289">
        <f>SUM(E6:E12)</f>
        <v>276777636</v>
      </c>
      <c r="F13" s="133"/>
      <c r="G13" s="302">
        <f>ROUND(+(D13-E13),0)</f>
        <v>-50640790</v>
      </c>
      <c r="H13" s="303">
        <f t="shared" si="1"/>
        <v>-0.18296561359458971</v>
      </c>
      <c r="J13" s="102">
        <v>-22576216</v>
      </c>
    </row>
    <row r="14" spans="1:10" s="102" customFormat="1" ht="21" customHeight="1" thickBot="1">
      <c r="A14" s="103"/>
      <c r="B14" s="64" t="s">
        <v>443</v>
      </c>
      <c r="C14" s="65">
        <f>+[8]Activo!C13</f>
        <v>9</v>
      </c>
      <c r="D14" s="287">
        <f>+[9]Activo!D13</f>
        <v>0</v>
      </c>
      <c r="E14" s="287">
        <f>VLOOKUP(B14,[2]Activo!$B$2:$E$28,4,0)</f>
        <v>3414</v>
      </c>
      <c r="F14" s="132"/>
      <c r="G14" s="283">
        <f t="shared" si="0"/>
        <v>-3414</v>
      </c>
      <c r="H14" s="301">
        <f t="shared" si="1"/>
        <v>-1</v>
      </c>
      <c r="J14" s="102">
        <v>-2808878</v>
      </c>
    </row>
    <row r="15" spans="1:10" s="102" customFormat="1" ht="21" customHeight="1" thickBot="1">
      <c r="B15" s="68" t="s">
        <v>113</v>
      </c>
      <c r="C15" s="67"/>
      <c r="D15" s="291">
        <f>+D13+D14</f>
        <v>226136846</v>
      </c>
      <c r="E15" s="291">
        <f>+E13+E14</f>
        <v>276781050</v>
      </c>
      <c r="F15" s="135"/>
      <c r="G15" s="302">
        <f>ROUND(+(D15-E15),0)</f>
        <v>-50644204</v>
      </c>
      <c r="H15" s="303">
        <f t="shared" si="1"/>
        <v>-0.18297569143552278</v>
      </c>
      <c r="J15" s="102">
        <v>-25385094</v>
      </c>
    </row>
    <row r="16" spans="1:10" s="102" customFormat="1" ht="21" customHeight="1">
      <c r="B16" s="60" t="s">
        <v>269</v>
      </c>
      <c r="C16" s="69"/>
      <c r="D16" s="469"/>
      <c r="E16" s="469"/>
      <c r="F16" s="133"/>
      <c r="G16" s="283"/>
      <c r="H16" s="301"/>
    </row>
    <row r="17" spans="1:11" s="102" customFormat="1" ht="21" customHeight="1">
      <c r="A17" s="103"/>
      <c r="B17" s="64" t="s">
        <v>232</v>
      </c>
      <c r="C17" s="65">
        <v>10</v>
      </c>
      <c r="D17" s="287">
        <f>VLOOKUP(B17,[7]Activo!$B$15:$E$28,3,0)</f>
        <v>8254287</v>
      </c>
      <c r="E17" s="287">
        <f>VLOOKUP(B17,[2]Activo!$B$15:$E$28,4,0)</f>
        <v>7895863</v>
      </c>
      <c r="F17" s="132"/>
      <c r="G17" s="283">
        <f t="shared" ref="G17:G26" si="2">ROUND(+(D17-E17),0)</f>
        <v>358424</v>
      </c>
      <c r="H17" s="301">
        <f t="shared" si="1"/>
        <v>4.5393898045090197E-2</v>
      </c>
      <c r="J17" s="102">
        <v>0</v>
      </c>
    </row>
    <row r="18" spans="1:11" s="102" customFormat="1" ht="21" customHeight="1">
      <c r="A18" s="103"/>
      <c r="B18" s="64" t="s">
        <v>109</v>
      </c>
      <c r="C18" s="65"/>
      <c r="D18" s="287">
        <f>VLOOKUP(B18,[7]Activo!$B$15:$E$28,3,0)</f>
        <v>3598840</v>
      </c>
      <c r="E18" s="287">
        <f>VLOOKUP(B18,[2]Activo!$B$15:$E$28,4,0)</f>
        <v>1481897</v>
      </c>
      <c r="F18" s="132"/>
      <c r="G18" s="283">
        <f t="shared" si="2"/>
        <v>2116943</v>
      </c>
      <c r="H18" s="301">
        <f t="shared" si="1"/>
        <v>1.4285358564056747</v>
      </c>
      <c r="J18" s="102">
        <v>-283913</v>
      </c>
    </row>
    <row r="19" spans="1:11" s="102" customFormat="1" ht="20.45" customHeight="1">
      <c r="A19" s="103"/>
      <c r="B19" s="64" t="s">
        <v>233</v>
      </c>
      <c r="C19" s="65">
        <v>5</v>
      </c>
      <c r="D19" s="287">
        <f>VLOOKUP(B19,[7]Activo!$B$15:$E$28,3,0)</f>
        <v>3766684</v>
      </c>
      <c r="E19" s="287">
        <f>VLOOKUP(B19,[2]Activo!$B$15:$E$28,4,0)</f>
        <v>3778724</v>
      </c>
      <c r="F19" s="132"/>
      <c r="G19" s="283">
        <f t="shared" si="2"/>
        <v>-12040</v>
      </c>
      <c r="H19" s="301">
        <f t="shared" si="1"/>
        <v>-3.1862607589228532E-3</v>
      </c>
      <c r="J19" s="102">
        <v>1128703</v>
      </c>
    </row>
    <row r="20" spans="1:11" s="102" customFormat="1" ht="12.75" hidden="1" customHeight="1">
      <c r="A20" s="103"/>
      <c r="B20" s="64" t="s">
        <v>292</v>
      </c>
      <c r="C20" s="65"/>
      <c r="D20" s="287">
        <f>VLOOKUP(B20,[7]Activo!$B$15:$E$28,3,0)</f>
        <v>0</v>
      </c>
      <c r="E20" s="287">
        <f>VLOOKUP(B20,[2]Activo!$B$15:$E$28,4,0)</f>
        <v>0</v>
      </c>
      <c r="F20" s="132"/>
      <c r="G20" s="283"/>
      <c r="H20" s="301"/>
    </row>
    <row r="21" spans="1:11" s="102" customFormat="1" ht="21" customHeight="1">
      <c r="A21" s="103"/>
      <c r="B21" s="64" t="s">
        <v>114</v>
      </c>
      <c r="C21" s="65">
        <v>11</v>
      </c>
      <c r="D21" s="287">
        <f>VLOOKUP(B21,[7]Activo!$B$15:$E$28,3,0)</f>
        <v>619883123</v>
      </c>
      <c r="E21" s="287">
        <f>VLOOKUP(B21,[2]Activo!$B$15:$E$28,4,0)</f>
        <v>231747713</v>
      </c>
      <c r="F21" s="132"/>
      <c r="G21" s="283">
        <f t="shared" si="2"/>
        <v>388135410</v>
      </c>
      <c r="H21" s="301">
        <f t="shared" si="1"/>
        <v>1.6748187284161031</v>
      </c>
      <c r="J21" s="102">
        <v>-335594</v>
      </c>
      <c r="K21" s="102">
        <v>25047714</v>
      </c>
    </row>
    <row r="22" spans="1:11" s="102" customFormat="1" ht="21" customHeight="1">
      <c r="A22" s="103"/>
      <c r="B22" s="64" t="s">
        <v>440</v>
      </c>
      <c r="C22" s="65">
        <v>12</v>
      </c>
      <c r="D22" s="287">
        <f>VLOOKUP(B22,[7]Activo!$B$15:$E$28,3,0)</f>
        <v>305171468</v>
      </c>
      <c r="E22" s="287">
        <f>VLOOKUP(B22,[2]Activo!$B$15:$E$28,4,0)</f>
        <v>305171468</v>
      </c>
      <c r="F22" s="132"/>
      <c r="G22" s="471">
        <f t="shared" si="2"/>
        <v>0</v>
      </c>
      <c r="H22" s="301">
        <f t="shared" si="1"/>
        <v>0</v>
      </c>
      <c r="J22" s="102">
        <v>0</v>
      </c>
    </row>
    <row r="23" spans="1:11" s="102" customFormat="1" ht="21" customHeight="1">
      <c r="A23" s="103"/>
      <c r="B23" s="64" t="s">
        <v>441</v>
      </c>
      <c r="C23" s="65">
        <v>13</v>
      </c>
      <c r="D23" s="287">
        <f>VLOOKUP(B23,[7]Activo!$B$15:$E$28,3,0)</f>
        <v>1845573943</v>
      </c>
      <c r="E23" s="287">
        <f>VLOOKUP(B23,[2]Activo!$B$15:$E$28,4,0)</f>
        <v>1805370932</v>
      </c>
      <c r="F23" s="132"/>
      <c r="G23" s="283">
        <f t="shared" si="2"/>
        <v>40203011</v>
      </c>
      <c r="H23" s="301">
        <f t="shared" si="1"/>
        <v>2.2268560043482523E-2</v>
      </c>
      <c r="J23" s="102">
        <v>25383308</v>
      </c>
    </row>
    <row r="24" spans="1:11" s="102" customFormat="1" ht="21" customHeight="1">
      <c r="A24" s="103"/>
      <c r="B24" s="64" t="s">
        <v>279</v>
      </c>
      <c r="C24" s="65">
        <v>14</v>
      </c>
      <c r="D24" s="287">
        <f>VLOOKUP(B24,[7]Activo!$B$15:$E$28,3,0)</f>
        <v>3805891</v>
      </c>
      <c r="E24" s="287">
        <f>VLOOKUP(B24,[2]Activo!$B$15:$E$28,4,0)</f>
        <v>4310355</v>
      </c>
      <c r="F24" s="132"/>
      <c r="G24" s="283">
        <f>ROUND(+(D24-E24),0)</f>
        <v>-504464</v>
      </c>
      <c r="H24" s="301">
        <f>IFERROR(G24/E24,1)</f>
        <v>-0.11703537179652256</v>
      </c>
      <c r="J24" s="102">
        <v>468350</v>
      </c>
    </row>
    <row r="25" spans="1:11" s="102" customFormat="1" ht="21" customHeight="1" thickBot="1">
      <c r="A25" s="103"/>
      <c r="B25" s="64" t="s">
        <v>442</v>
      </c>
      <c r="C25" s="65">
        <v>15</v>
      </c>
      <c r="D25" s="287">
        <f>VLOOKUP(B25,[7]Activo!$B$15:$E$28,3,0)</f>
        <v>2373571</v>
      </c>
      <c r="E25" s="287">
        <f>VLOOKUP(B25,[2]Activo!$B$15:$E$28,4,0)</f>
        <v>59938069</v>
      </c>
      <c r="F25" s="132"/>
      <c r="G25" s="283">
        <f t="shared" si="2"/>
        <v>-57564498</v>
      </c>
      <c r="H25" s="301">
        <f t="shared" si="1"/>
        <v>-0.9603996084692018</v>
      </c>
      <c r="J25" s="102">
        <v>2528855</v>
      </c>
    </row>
    <row r="26" spans="1:11" s="102" customFormat="1" ht="21" customHeight="1" thickBot="1">
      <c r="B26" s="70" t="s">
        <v>115</v>
      </c>
      <c r="C26" s="67"/>
      <c r="D26" s="289">
        <f>SUM(D17:D25)</f>
        <v>2792427807</v>
      </c>
      <c r="E26" s="289">
        <f>SUM(E17:E25)</f>
        <v>2419695021</v>
      </c>
      <c r="F26" s="133"/>
      <c r="G26" s="302">
        <f t="shared" si="2"/>
        <v>372732786</v>
      </c>
      <c r="H26" s="303">
        <f t="shared" si="1"/>
        <v>0.15404122534663842</v>
      </c>
      <c r="J26" s="102">
        <v>28889709</v>
      </c>
    </row>
    <row r="27" spans="1:11" s="103" customFormat="1" ht="11.25" customHeight="1" thickBot="1">
      <c r="A27" s="134"/>
      <c r="B27" s="64"/>
      <c r="C27" s="65"/>
      <c r="D27" s="287"/>
      <c r="E27" s="287"/>
      <c r="F27" s="132"/>
      <c r="G27" s="283"/>
      <c r="H27" s="301"/>
    </row>
    <row r="28" spans="1:11" s="102" customFormat="1" ht="21" customHeight="1" thickBot="1">
      <c r="B28" s="71" t="s">
        <v>234</v>
      </c>
      <c r="C28" s="72"/>
      <c r="D28" s="292">
        <f>+D15+D26</f>
        <v>3018564653</v>
      </c>
      <c r="E28" s="292">
        <f>+E15+E26</f>
        <v>2696476071</v>
      </c>
      <c r="F28" s="133"/>
      <c r="G28" s="302">
        <f>ROUND(+(D28-E28),0)</f>
        <v>322088582</v>
      </c>
      <c r="H28" s="303">
        <f t="shared" si="1"/>
        <v>0.11944796598196847</v>
      </c>
      <c r="J28" s="102">
        <v>3504615</v>
      </c>
    </row>
    <row r="29" spans="1:11">
      <c r="B29" s="136"/>
      <c r="C29" s="137"/>
      <c r="D29" s="138"/>
      <c r="E29" s="138"/>
      <c r="F29" s="138"/>
      <c r="G29" s="285"/>
      <c r="H29" s="301"/>
    </row>
    <row r="30" spans="1:11" ht="13.5" thickBot="1">
      <c r="B30" s="136"/>
      <c r="C30" s="137"/>
      <c r="D30" s="138"/>
      <c r="E30" s="138"/>
      <c r="F30" s="138"/>
      <c r="G30" s="285"/>
      <c r="H30" s="301"/>
    </row>
    <row r="31" spans="1:11" s="102" customFormat="1" ht="20.25" customHeight="1">
      <c r="A31" s="127"/>
      <c r="B31" s="535" t="s">
        <v>116</v>
      </c>
      <c r="C31" s="537" t="s">
        <v>106</v>
      </c>
      <c r="D31" s="56">
        <f>+D3</f>
        <v>45565</v>
      </c>
      <c r="E31" s="57">
        <f>+E3</f>
        <v>45291</v>
      </c>
      <c r="G31" s="283"/>
      <c r="H31" s="301"/>
    </row>
    <row r="32" spans="1:11" s="102" customFormat="1" ht="18" customHeight="1">
      <c r="A32" s="103"/>
      <c r="B32" s="536"/>
      <c r="C32" s="538"/>
      <c r="D32" s="58" t="s">
        <v>8</v>
      </c>
      <c r="E32" s="59" t="s">
        <v>8</v>
      </c>
      <c r="G32" s="283"/>
      <c r="H32" s="301"/>
    </row>
    <row r="33" spans="1:12" s="102" customFormat="1" ht="18" customHeight="1">
      <c r="A33" s="103"/>
      <c r="B33" s="60" t="s">
        <v>117</v>
      </c>
      <c r="C33" s="73"/>
      <c r="D33" s="62"/>
      <c r="E33" s="63"/>
      <c r="G33" s="283"/>
      <c r="H33" s="301"/>
    </row>
    <row r="34" spans="1:12" s="103" customFormat="1" ht="18" customHeight="1">
      <c r="A34" s="134"/>
      <c r="B34" s="64" t="s">
        <v>445</v>
      </c>
      <c r="C34" s="65">
        <v>16</v>
      </c>
      <c r="D34" s="287">
        <f>VLOOKUP(B34,[7]Pasivo!$B$2:$E$38,3,0)</f>
        <v>89431188</v>
      </c>
      <c r="E34" s="287">
        <f>VLOOKUP(B34,[2]Pasivo!$B$2:$E$38,4,0)</f>
        <v>155416801</v>
      </c>
      <c r="F34" s="102"/>
      <c r="G34" s="283">
        <f t="shared" ref="G34:G41" si="3">ROUND(+(D34-E34),0)</f>
        <v>-65985613</v>
      </c>
      <c r="H34" s="301">
        <f t="shared" ref="H34:H41" si="4">IFERROR(G34/E34,1)</f>
        <v>-0.42457194187132957</v>
      </c>
      <c r="J34" s="103">
        <v>46169287</v>
      </c>
    </row>
    <row r="35" spans="1:12" s="103" customFormat="1" ht="18" customHeight="1">
      <c r="A35" s="134"/>
      <c r="B35" s="64" t="s">
        <v>280</v>
      </c>
      <c r="C35" s="65">
        <v>14</v>
      </c>
      <c r="D35" s="287">
        <f>VLOOKUP(B35,[7]Pasivo!$B$2:$E$38,3,0)</f>
        <v>1755467</v>
      </c>
      <c r="E35" s="287">
        <f>VLOOKUP(B35,[2]Pasivo!$B$2:$E$38,4,0)</f>
        <v>1756478</v>
      </c>
      <c r="F35" s="102"/>
      <c r="G35" s="283">
        <f t="shared" si="3"/>
        <v>-1011</v>
      </c>
      <c r="H35" s="301">
        <f t="shared" si="4"/>
        <v>-5.7558363953320228E-4</v>
      </c>
      <c r="J35" s="103">
        <v>209862</v>
      </c>
    </row>
    <row r="36" spans="1:12" s="103" customFormat="1" ht="18" customHeight="1">
      <c r="A36" s="134"/>
      <c r="B36" s="507" t="s">
        <v>444</v>
      </c>
      <c r="C36" s="65">
        <v>17</v>
      </c>
      <c r="D36" s="287">
        <f>VLOOKUP(B36,[7]Pasivo!$B$2:$E$38,3,0)</f>
        <v>138141927</v>
      </c>
      <c r="E36" s="287">
        <f>VLOOKUP(B36,[2]Pasivo!$B$2:$E$38,4,0)</f>
        <v>177869738</v>
      </c>
      <c r="F36" s="102"/>
      <c r="G36" s="283">
        <f t="shared" si="3"/>
        <v>-39727811</v>
      </c>
      <c r="H36" s="301">
        <f t="shared" si="4"/>
        <v>-0.22335340146506541</v>
      </c>
      <c r="J36" s="103">
        <v>-1515771</v>
      </c>
    </row>
    <row r="37" spans="1:12" s="103" customFormat="1" ht="18" customHeight="1">
      <c r="A37" s="134"/>
      <c r="B37" s="64" t="s">
        <v>118</v>
      </c>
      <c r="C37" s="65">
        <v>6</v>
      </c>
      <c r="D37" s="287">
        <f>VLOOKUP(B37,[7]Pasivo!$B$2:$E$38,3,0)</f>
        <v>1217734</v>
      </c>
      <c r="E37" s="287">
        <f>VLOOKUP(B37,[2]Pasivo!$B$2:$E$38,4,0)</f>
        <v>1583500</v>
      </c>
      <c r="F37" s="102"/>
      <c r="G37" s="283">
        <f t="shared" si="3"/>
        <v>-365766</v>
      </c>
      <c r="H37" s="301">
        <f t="shared" si="4"/>
        <v>-0.23098579096937163</v>
      </c>
      <c r="J37" s="103">
        <v>431698</v>
      </c>
    </row>
    <row r="38" spans="1:12" s="103" customFormat="1" ht="18" customHeight="1">
      <c r="A38" s="134"/>
      <c r="B38" s="64" t="s">
        <v>122</v>
      </c>
      <c r="C38" s="65">
        <v>18</v>
      </c>
      <c r="D38" s="287">
        <f>VLOOKUP(B38,[7]Pasivo!$B$2:$E$38,3,0)</f>
        <v>790902</v>
      </c>
      <c r="E38" s="287">
        <f>VLOOKUP(B38,[2]Pasivo!$B$2:$E$38,4,0)</f>
        <v>735780</v>
      </c>
      <c r="F38" s="102"/>
      <c r="G38" s="283">
        <f t="shared" si="3"/>
        <v>55122</v>
      </c>
      <c r="H38" s="301">
        <f t="shared" si="4"/>
        <v>7.4916415232814157E-2</v>
      </c>
      <c r="J38" s="103">
        <v>-12194934</v>
      </c>
      <c r="L38" s="407">
        <v>24957873</v>
      </c>
    </row>
    <row r="39" spans="1:12" s="103" customFormat="1" ht="18" customHeight="1">
      <c r="A39" s="134"/>
      <c r="B39" s="64" t="s">
        <v>119</v>
      </c>
      <c r="C39" s="65">
        <v>8</v>
      </c>
      <c r="D39" s="287">
        <f>VLOOKUP(B39,[7]Pasivo!$B$2:$E$38,3,0)</f>
        <v>422762</v>
      </c>
      <c r="E39" s="287">
        <f>VLOOKUP(B39,[2]Pasivo!$B$2:$E$38,4,0)</f>
        <v>245000</v>
      </c>
      <c r="F39" s="102"/>
      <c r="G39" s="283">
        <f t="shared" si="3"/>
        <v>177762</v>
      </c>
      <c r="H39" s="301">
        <f t="shared" si="4"/>
        <v>0.72555918367346939</v>
      </c>
      <c r="J39" s="103">
        <v>-4706393</v>
      </c>
      <c r="L39" s="407">
        <v>24942898</v>
      </c>
    </row>
    <row r="40" spans="1:12" s="103" customFormat="1" ht="18" customHeight="1">
      <c r="A40" s="134"/>
      <c r="B40" s="64" t="s">
        <v>446</v>
      </c>
      <c r="C40" s="65">
        <v>19</v>
      </c>
      <c r="D40" s="287">
        <f>VLOOKUP(B40,[7]Pasivo!$B$2:$E$38,3,0)</f>
        <v>5414499</v>
      </c>
      <c r="E40" s="287">
        <f>VLOOKUP(B40,[2]Pasivo!$B$2:$E$38,4,0)</f>
        <v>5985824</v>
      </c>
      <c r="F40" s="102"/>
      <c r="G40" s="283">
        <f t="shared" si="3"/>
        <v>-571325</v>
      </c>
      <c r="H40" s="301">
        <f t="shared" si="4"/>
        <v>-9.5446341222194309E-2</v>
      </c>
      <c r="J40" s="103">
        <v>-2240691</v>
      </c>
      <c r="L40" s="102">
        <f>+L39-L38</f>
        <v>-14975</v>
      </c>
    </row>
    <row r="41" spans="1:12" s="103" customFormat="1" ht="18" customHeight="1" thickBot="1">
      <c r="A41" s="134"/>
      <c r="B41" s="64" t="s">
        <v>224</v>
      </c>
      <c r="C41" s="65">
        <v>20</v>
      </c>
      <c r="D41" s="287">
        <f>VLOOKUP(B41,[7]Pasivo!$B$2:$E$38,3,0)</f>
        <v>13524733</v>
      </c>
      <c r="E41" s="287">
        <f>VLOOKUP(B41,[2]Pasivo!$B$2:$E$38,4,0)</f>
        <v>19041225</v>
      </c>
      <c r="F41" s="102"/>
      <c r="G41" s="283">
        <f t="shared" si="3"/>
        <v>-5516492</v>
      </c>
      <c r="H41" s="301">
        <f t="shared" si="4"/>
        <v>-0.28971308306056992</v>
      </c>
      <c r="I41" s="380">
        <f>+G36-G44</f>
        <v>72207323</v>
      </c>
      <c r="J41" s="103">
        <v>-1474987</v>
      </c>
    </row>
    <row r="42" spans="1:12" s="102" customFormat="1" ht="39" thickBot="1">
      <c r="A42" s="103"/>
      <c r="B42" s="74" t="s">
        <v>270</v>
      </c>
      <c r="C42" s="67"/>
      <c r="D42" s="289">
        <f>SUM(D34:D41)</f>
        <v>250699212</v>
      </c>
      <c r="E42" s="290">
        <f>SUM(E34:E41)</f>
        <v>362634346</v>
      </c>
      <c r="G42" s="302">
        <f t="shared" ref="G42" si="5">ROUND(+(D42-E42),0)</f>
        <v>-111935134</v>
      </c>
      <c r="H42" s="303">
        <f t="shared" si="1"/>
        <v>-0.30867217966165839</v>
      </c>
      <c r="J42" s="102">
        <v>24678071</v>
      </c>
    </row>
    <row r="43" spans="1:12" s="103" customFormat="1" ht="21.75" customHeight="1" thickBot="1">
      <c r="A43" s="134"/>
      <c r="B43" s="64" t="s">
        <v>303</v>
      </c>
      <c r="C43" s="65"/>
      <c r="D43" s="287"/>
      <c r="E43" s="63"/>
      <c r="F43" s="102"/>
      <c r="G43" s="283">
        <f>ROUND(+(D43-E43),0)</f>
        <v>0</v>
      </c>
      <c r="H43" s="301">
        <f>IFERROR(G43/E43,1)</f>
        <v>1</v>
      </c>
      <c r="J43" s="103">
        <v>0</v>
      </c>
    </row>
    <row r="44" spans="1:12" s="102" customFormat="1" ht="21" customHeight="1" thickBot="1">
      <c r="A44" s="103"/>
      <c r="B44" s="70" t="s">
        <v>120</v>
      </c>
      <c r="C44" s="75"/>
      <c r="D44" s="289">
        <f>+D42+D43</f>
        <v>250699212</v>
      </c>
      <c r="E44" s="290">
        <f>+E42+E43</f>
        <v>362634346</v>
      </c>
      <c r="G44" s="302">
        <f>ROUND(+(D44-E44),0)</f>
        <v>-111935134</v>
      </c>
      <c r="H44" s="303">
        <f t="shared" si="1"/>
        <v>-0.30867217966165839</v>
      </c>
      <c r="I44" s="427">
        <f>+H44+H15</f>
        <v>-0.49164787109718117</v>
      </c>
      <c r="J44" s="102">
        <v>24678071</v>
      </c>
    </row>
    <row r="45" spans="1:12" s="103" customFormat="1" ht="21" customHeight="1">
      <c r="B45" s="60" t="s">
        <v>121</v>
      </c>
      <c r="C45" s="73"/>
      <c r="D45" s="287"/>
      <c r="E45" s="288"/>
      <c r="F45" s="102"/>
      <c r="G45" s="283"/>
      <c r="H45" s="301"/>
    </row>
    <row r="46" spans="1:12" s="103" customFormat="1" ht="18" customHeight="1">
      <c r="A46" s="134"/>
      <c r="B46" s="64" t="s">
        <v>223</v>
      </c>
      <c r="C46" s="65">
        <v>16</v>
      </c>
      <c r="D46" s="287">
        <f>VLOOKUP(B46,[7]Pasivo!$B$15:$E$38,3,0)</f>
        <v>1230124282</v>
      </c>
      <c r="E46" s="287">
        <f>VLOOKUP(B46,[2]Pasivo!$B$15:$E$38,4,0)</f>
        <v>1125060897</v>
      </c>
      <c r="F46" s="102"/>
      <c r="G46" s="283">
        <f t="shared" ref="G46:G54" si="6">ROUND(+(D46-E46),0)</f>
        <v>105063385</v>
      </c>
      <c r="H46" s="301">
        <f t="shared" si="1"/>
        <v>9.3384620583786937E-2</v>
      </c>
      <c r="J46" s="103">
        <v>-49643850</v>
      </c>
    </row>
    <row r="47" spans="1:12" s="103" customFormat="1" ht="18" customHeight="1">
      <c r="A47" s="134"/>
      <c r="B47" s="64" t="s">
        <v>280</v>
      </c>
      <c r="C47" s="65">
        <v>14</v>
      </c>
      <c r="D47" s="287">
        <f>VLOOKUP(B47,[7]Pasivo!$B$15:$E$38,3,0)</f>
        <v>2291022</v>
      </c>
      <c r="E47" s="287">
        <f>VLOOKUP(B47,[2]Pasivo!$B$15:$E$38,4,0)</f>
        <v>2762179</v>
      </c>
      <c r="F47" s="102"/>
      <c r="G47" s="283">
        <f>ROUND(+(D47-E47),0)</f>
        <v>-471157</v>
      </c>
      <c r="H47" s="301">
        <f>IFERROR(G47/E47,1)</f>
        <v>-0.17057439072558295</v>
      </c>
      <c r="J47" s="103">
        <v>336141</v>
      </c>
    </row>
    <row r="48" spans="1:12" s="103" customFormat="1" ht="18" customHeight="1">
      <c r="A48" s="134"/>
      <c r="B48" s="64" t="s">
        <v>124</v>
      </c>
      <c r="C48" s="65">
        <v>17</v>
      </c>
      <c r="D48" s="287">
        <f>VLOOKUP(B48,[7]Pasivo!$B$15:$E$38,3,0)</f>
        <v>1386972</v>
      </c>
      <c r="E48" s="287">
        <f>VLOOKUP(B48,[2]Pasivo!$B$15:$E$38,4,0)</f>
        <v>1181871</v>
      </c>
      <c r="F48" s="102"/>
      <c r="G48" s="283">
        <f t="shared" si="6"/>
        <v>205101</v>
      </c>
      <c r="H48" s="301">
        <f t="shared" si="1"/>
        <v>0.17353924413070462</v>
      </c>
      <c r="J48" s="103">
        <v>2088</v>
      </c>
    </row>
    <row r="49" spans="1:10" s="103" customFormat="1" ht="18" hidden="1" customHeight="1">
      <c r="A49" s="134"/>
      <c r="B49" s="64" t="s">
        <v>118</v>
      </c>
      <c r="C49" s="65"/>
      <c r="D49" s="287">
        <f>VLOOKUP(B49,[7]Pasivo!$B$15:$E$38,3,0)</f>
        <v>0</v>
      </c>
      <c r="E49" s="287">
        <f>VLOOKUP(B49,[2]Pasivo!$B$15:$E$38,4,0)</f>
        <v>0</v>
      </c>
      <c r="F49" s="102"/>
      <c r="G49" s="283">
        <f>ROUND(+(D49-E49),0)</f>
        <v>0</v>
      </c>
      <c r="H49" s="301">
        <f>IFERROR(G49/E49,1)</f>
        <v>1</v>
      </c>
      <c r="J49" s="103">
        <v>0</v>
      </c>
    </row>
    <row r="50" spans="1:10" s="103" customFormat="1" ht="18" customHeight="1">
      <c r="B50" s="64" t="s">
        <v>122</v>
      </c>
      <c r="C50" s="65">
        <v>18</v>
      </c>
      <c r="D50" s="287">
        <f>VLOOKUP(B50,[7]Pasivo!$B$15:$E$38,3,0)</f>
        <v>1881981</v>
      </c>
      <c r="E50" s="287">
        <f>VLOOKUP(B50,[2]Pasivo!$B$15:$E$38,4,0)</f>
        <v>1823379</v>
      </c>
      <c r="F50" s="102"/>
      <c r="G50" s="283">
        <f t="shared" si="6"/>
        <v>58602</v>
      </c>
      <c r="H50" s="301">
        <f t="shared" si="1"/>
        <v>3.2139231613394693E-2</v>
      </c>
      <c r="J50" s="103">
        <v>915666</v>
      </c>
    </row>
    <row r="51" spans="1:10" s="103" customFormat="1" ht="18" customHeight="1">
      <c r="B51" s="64" t="s">
        <v>123</v>
      </c>
      <c r="C51" s="65">
        <v>15</v>
      </c>
      <c r="D51" s="287">
        <f>VLOOKUP(B51,[7]Pasivo!$B$15:$E$38,3,0)</f>
        <v>58746266</v>
      </c>
      <c r="E51" s="287">
        <f>VLOOKUP(B51,[2]Pasivo!$B$15:$E$38,4,0)</f>
        <v>15207944</v>
      </c>
      <c r="F51" s="102"/>
      <c r="G51" s="283">
        <f t="shared" si="6"/>
        <v>43538322</v>
      </c>
      <c r="H51" s="301">
        <f t="shared" si="1"/>
        <v>2.8628670647393233</v>
      </c>
      <c r="J51" s="103">
        <v>-854867</v>
      </c>
    </row>
    <row r="52" spans="1:10" s="103" customFormat="1" ht="18" customHeight="1">
      <c r="B52" s="507" t="s">
        <v>447</v>
      </c>
      <c r="C52" s="65">
        <v>19</v>
      </c>
      <c r="D52" s="287">
        <f>VLOOKUP(B52,[7]Pasivo!$B$15:$E$38,3,0)</f>
        <v>22906413</v>
      </c>
      <c r="E52" s="287">
        <f>VLOOKUP(B52,[2]Pasivo!$B$15:$E$38,4,0)</f>
        <v>22322555</v>
      </c>
      <c r="F52" s="102"/>
      <c r="G52" s="283">
        <f t="shared" si="6"/>
        <v>583858</v>
      </c>
      <c r="H52" s="301">
        <f t="shared" si="1"/>
        <v>2.6155518487915027E-2</v>
      </c>
      <c r="J52" s="103">
        <v>-204026</v>
      </c>
    </row>
    <row r="53" spans="1:10" s="103" customFormat="1" ht="18" customHeight="1" thickBot="1">
      <c r="B53" s="64" t="s">
        <v>224</v>
      </c>
      <c r="C53" s="65">
        <v>20</v>
      </c>
      <c r="D53" s="287">
        <f>VLOOKUP(B53,[7]Pasivo!$B$15:$E$38,3,0)</f>
        <v>7923297</v>
      </c>
      <c r="E53" s="287">
        <f>VLOOKUP(B53,[2]Pasivo!$B$15:$E$38,4,0)</f>
        <v>7454642</v>
      </c>
      <c r="F53" s="102"/>
      <c r="G53" s="283">
        <f t="shared" si="6"/>
        <v>468655</v>
      </c>
      <c r="H53" s="301">
        <f t="shared" si="1"/>
        <v>6.2867539447233015E-2</v>
      </c>
      <c r="J53" s="103">
        <v>-425193</v>
      </c>
    </row>
    <row r="54" spans="1:10" s="103" customFormat="1" ht="21" customHeight="1" thickBot="1">
      <c r="B54" s="70" t="s">
        <v>235</v>
      </c>
      <c r="C54" s="75"/>
      <c r="D54" s="289">
        <f>SUM(D46:D53)</f>
        <v>1325260233</v>
      </c>
      <c r="E54" s="290">
        <f>SUM(E46:E53)</f>
        <v>1175813467</v>
      </c>
      <c r="F54" s="102"/>
      <c r="G54" s="302">
        <f t="shared" si="6"/>
        <v>149446766</v>
      </c>
      <c r="H54" s="303">
        <f t="shared" si="1"/>
        <v>0.12710074360799953</v>
      </c>
      <c r="J54" s="103">
        <v>-49874041</v>
      </c>
    </row>
    <row r="55" spans="1:10" s="103" customFormat="1" ht="4.5" customHeight="1" thickBot="1">
      <c r="B55" s="64"/>
      <c r="C55" s="65"/>
      <c r="D55" s="287"/>
      <c r="E55" s="288"/>
      <c r="F55" s="102"/>
      <c r="G55" s="283"/>
      <c r="H55" s="301"/>
    </row>
    <row r="56" spans="1:10" s="103" customFormat="1" ht="21" customHeight="1" thickBot="1">
      <c r="B56" s="76" t="s">
        <v>125</v>
      </c>
      <c r="C56" s="75"/>
      <c r="D56" s="289">
        <f>+D54+D44</f>
        <v>1575959445</v>
      </c>
      <c r="E56" s="290">
        <f>+E54+E44</f>
        <v>1538447813</v>
      </c>
      <c r="F56" s="102"/>
      <c r="G56" s="302">
        <f>ROUND(+(D56-E56),0)</f>
        <v>37511632</v>
      </c>
      <c r="H56" s="303">
        <f t="shared" ref="H56:H67" si="7">IFERROR(G56/E56,100)</f>
        <v>2.4382778332176031E-2</v>
      </c>
      <c r="J56" s="103">
        <v>-25195970</v>
      </c>
    </row>
    <row r="57" spans="1:10" s="103" customFormat="1" ht="21" customHeight="1">
      <c r="B57" s="60" t="s">
        <v>236</v>
      </c>
      <c r="C57" s="77"/>
      <c r="D57" s="294"/>
      <c r="E57" s="295"/>
      <c r="F57" s="102"/>
      <c r="G57" s="283"/>
      <c r="H57" s="301"/>
    </row>
    <row r="58" spans="1:10" s="103" customFormat="1" ht="18" customHeight="1">
      <c r="B58" s="64" t="s">
        <v>126</v>
      </c>
      <c r="C58" s="65">
        <v>21</v>
      </c>
      <c r="D58" s="287">
        <f>VLOOKUP(B58,[7]Pasivo!$B$15:$E$38,3,0)</f>
        <v>468358402</v>
      </c>
      <c r="E58" s="287">
        <f>VLOOKUP(B58,[2]Pasivo!$B$15:$E$38,4,0)</f>
        <v>468358402</v>
      </c>
      <c r="F58" s="102"/>
      <c r="G58" s="283">
        <f t="shared" ref="G58:G65" si="8">ROUND(+(D58-E58),0)</f>
        <v>0</v>
      </c>
      <c r="H58" s="301">
        <f t="shared" si="7"/>
        <v>0</v>
      </c>
      <c r="J58" s="103">
        <v>0</v>
      </c>
    </row>
    <row r="59" spans="1:10" s="103" customFormat="1" ht="18" customHeight="1">
      <c r="B59" s="507" t="s">
        <v>448</v>
      </c>
      <c r="C59" s="65">
        <v>21</v>
      </c>
      <c r="D59" s="287">
        <f>VLOOKUP(B59,[7]Pasivo!$B$15:$E$38,3,0)</f>
        <v>205363086.88104901</v>
      </c>
      <c r="E59" s="287">
        <f>VLOOKUP(B59,[2]Pasivo!$B$15:$E$38,4,0)</f>
        <v>203895643.88104901</v>
      </c>
      <c r="F59" s="102"/>
      <c r="G59" s="283">
        <f>ROUND(+(D59-E59),0)</f>
        <v>1467443</v>
      </c>
      <c r="H59" s="301">
        <f t="shared" si="7"/>
        <v>7.197029676887525E-3</v>
      </c>
      <c r="J59" s="103">
        <v>1834132</v>
      </c>
    </row>
    <row r="60" spans="1:10" s="103" customFormat="1" ht="18" customHeight="1">
      <c r="B60" s="78" t="s">
        <v>225</v>
      </c>
      <c r="C60" s="65">
        <v>21</v>
      </c>
      <c r="D60" s="287">
        <v>0</v>
      </c>
      <c r="E60" s="287">
        <v>0</v>
      </c>
      <c r="F60" s="102"/>
      <c r="G60" s="283">
        <f t="shared" si="8"/>
        <v>0</v>
      </c>
      <c r="H60" s="301">
        <f t="shared" si="7"/>
        <v>100</v>
      </c>
      <c r="J60" s="103">
        <v>0</v>
      </c>
    </row>
    <row r="61" spans="1:10" s="102" customFormat="1" ht="18" customHeight="1">
      <c r="A61" s="103"/>
      <c r="B61" s="64" t="s">
        <v>127</v>
      </c>
      <c r="C61" s="65">
        <v>21</v>
      </c>
      <c r="D61" s="287">
        <f>VLOOKUP(B61,[7]Pasivo!$B$15:$E$38,3,0)</f>
        <v>-37268415</v>
      </c>
      <c r="E61" s="287">
        <f>VLOOKUP(B61,[2]Pasivo!$B$15:$E$38,4,0)</f>
        <v>-37268415</v>
      </c>
      <c r="G61" s="283">
        <f t="shared" si="8"/>
        <v>0</v>
      </c>
      <c r="H61" s="301">
        <f t="shared" si="7"/>
        <v>0</v>
      </c>
      <c r="J61" s="102">
        <v>0</v>
      </c>
    </row>
    <row r="62" spans="1:10" s="102" customFormat="1" ht="18" customHeight="1" thickBot="1">
      <c r="A62" s="103"/>
      <c r="B62" s="64" t="s">
        <v>307</v>
      </c>
      <c r="C62" s="65">
        <v>21</v>
      </c>
      <c r="D62" s="287">
        <f>VLOOKUP(B62,[7]Pasivo!$B$15:$E$38,3,0)</f>
        <v>221991660.9200604</v>
      </c>
      <c r="E62" s="287">
        <f>VLOOKUP(B62,[2]Pasivo!$B$15:$E$38,4,0)</f>
        <v>80864058.224631608</v>
      </c>
      <c r="G62" s="283"/>
      <c r="H62" s="301"/>
    </row>
    <row r="63" spans="1:10" s="102" customFormat="1" ht="21.75" customHeight="1" thickBot="1">
      <c r="A63" s="103"/>
      <c r="B63" s="79" t="s">
        <v>94</v>
      </c>
      <c r="C63" s="65"/>
      <c r="D63" s="469">
        <f>SUM(D58:D62)</f>
        <v>858444734.80110943</v>
      </c>
      <c r="E63" s="469">
        <f>SUM(E58:E62)</f>
        <v>715849689.1056807</v>
      </c>
      <c r="G63" s="302">
        <f t="shared" si="8"/>
        <v>142595046</v>
      </c>
      <c r="H63" s="303">
        <f t="shared" si="7"/>
        <v>0.19919690986825131</v>
      </c>
      <c r="J63" s="102">
        <v>1834132</v>
      </c>
    </row>
    <row r="64" spans="1:10" s="102" customFormat="1" ht="21.75" customHeight="1" thickBot="1">
      <c r="A64" s="103"/>
      <c r="B64" s="507" t="s">
        <v>95</v>
      </c>
      <c r="C64" s="65">
        <v>22</v>
      </c>
      <c r="D64" s="287">
        <f>VLOOKUP(B64,[7]Pasivo!$B$15:$E$38,3,0)</f>
        <v>584160472.85245204</v>
      </c>
      <c r="E64" s="287">
        <f>VLOOKUP(B64,[2]Pasivo!$B$15:$E$38,4,0)</f>
        <v>442178569</v>
      </c>
      <c r="G64" s="283">
        <f t="shared" si="8"/>
        <v>141981904</v>
      </c>
      <c r="H64" s="301">
        <f t="shared" si="7"/>
        <v>0.32109630351623847</v>
      </c>
      <c r="J64" s="102">
        <v>26866453</v>
      </c>
    </row>
    <row r="65" spans="1:10" s="102" customFormat="1" ht="18" customHeight="1" thickBot="1">
      <c r="A65" s="103"/>
      <c r="B65" s="70" t="s">
        <v>237</v>
      </c>
      <c r="C65" s="80"/>
      <c r="D65" s="289">
        <f>+D63+D64</f>
        <v>1442605207.6535616</v>
      </c>
      <c r="E65" s="290">
        <f>+E63+E64</f>
        <v>1158028258.1056807</v>
      </c>
      <c r="G65" s="302">
        <f t="shared" si="8"/>
        <v>284576950</v>
      </c>
      <c r="H65" s="303">
        <f t="shared" si="7"/>
        <v>0.24574266474767642</v>
      </c>
      <c r="J65" s="102">
        <v>28700585</v>
      </c>
    </row>
    <row r="66" spans="1:10" s="103" customFormat="1" ht="11.25" customHeight="1" thickBot="1">
      <c r="B66" s="64"/>
      <c r="C66" s="65"/>
      <c r="D66" s="287"/>
      <c r="E66" s="288"/>
      <c r="F66" s="102"/>
      <c r="G66" s="283"/>
      <c r="H66" s="301"/>
    </row>
    <row r="67" spans="1:10" s="102" customFormat="1" ht="20.25" customHeight="1" thickBot="1">
      <c r="A67" s="103"/>
      <c r="B67" s="81" t="s">
        <v>238</v>
      </c>
      <c r="C67" s="82"/>
      <c r="D67" s="292">
        <f>+D65+D56</f>
        <v>3018564652.6535616</v>
      </c>
      <c r="E67" s="293">
        <f>+E65+E56</f>
        <v>2696476071.1056805</v>
      </c>
      <c r="G67" s="302">
        <f>ROUND(+(D67-E67),0)</f>
        <v>322088582</v>
      </c>
      <c r="H67" s="303">
        <f t="shared" si="7"/>
        <v>0.11944796597728706</v>
      </c>
      <c r="J67" s="102">
        <v>3504615</v>
      </c>
    </row>
    <row r="69" spans="1:10" ht="15" customHeight="1">
      <c r="B69" s="352" t="s">
        <v>274</v>
      </c>
      <c r="C69" s="352"/>
      <c r="D69" s="353">
        <f>+D67-D28</f>
        <v>-0.34643840789794922</v>
      </c>
      <c r="E69" s="353">
        <f>+E67-E28</f>
        <v>0.10568046569824219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000"/>
    <pageSetUpPr fitToPage="1"/>
  </sheetPr>
  <dimension ref="A1:P36"/>
  <sheetViews>
    <sheetView showGridLines="0" topLeftCell="A3" zoomScale="90" zoomScaleNormal="90" workbookViewId="0">
      <selection activeCell="F5" sqref="F5"/>
    </sheetView>
  </sheetViews>
  <sheetFormatPr baseColWidth="10" defaultColWidth="11.42578125" defaultRowHeight="12.75"/>
  <cols>
    <col min="1" max="1" width="7.5703125" style="111" customWidth="1"/>
    <col min="2" max="2" width="50.42578125" style="111" customWidth="1"/>
    <col min="3" max="3" width="7.7109375" style="111" customWidth="1"/>
    <col min="4" max="4" width="13.28515625" style="111" bestFit="1" customWidth="1"/>
    <col min="5" max="5" width="13.85546875" style="111" customWidth="1"/>
    <col min="6" max="6" width="17.5703125" style="111" customWidth="1"/>
    <col min="7" max="7" width="11.42578125" style="111" customWidth="1"/>
    <col min="8" max="8" width="5" style="111" customWidth="1"/>
    <col min="9" max="9" width="12" style="296" customWidth="1"/>
    <col min="10" max="11" width="12.7109375" style="297" customWidth="1"/>
    <col min="12" max="12" width="12" style="296" bestFit="1" customWidth="1"/>
    <col min="13" max="13" width="12.7109375" style="297" customWidth="1"/>
    <col min="14" max="16384" width="11.42578125" style="111"/>
  </cols>
  <sheetData>
    <row r="1" spans="1:16">
      <c r="C1" s="126"/>
    </row>
    <row r="2" spans="1:16" ht="13.5" thickBot="1">
      <c r="C2" s="126"/>
      <c r="I2" s="547"/>
      <c r="J2" s="547"/>
      <c r="K2" s="336"/>
      <c r="L2" s="547" t="s">
        <v>227</v>
      </c>
      <c r="M2" s="547"/>
      <c r="P2" s="111" t="s">
        <v>227</v>
      </c>
    </row>
    <row r="3" spans="1:16" s="103" customFormat="1" ht="24">
      <c r="A3" s="127"/>
      <c r="B3" s="541" t="s">
        <v>271</v>
      </c>
      <c r="C3" s="543" t="s">
        <v>106</v>
      </c>
      <c r="D3" s="371">
        <v>45565</v>
      </c>
      <c r="E3" s="371">
        <v>45199</v>
      </c>
      <c r="F3" s="518" t="s">
        <v>455</v>
      </c>
      <c r="G3" s="518" t="s">
        <v>456</v>
      </c>
      <c r="I3" s="545"/>
      <c r="J3" s="546"/>
      <c r="K3" s="337"/>
      <c r="L3" s="545" t="s">
        <v>226</v>
      </c>
      <c r="M3" s="546"/>
      <c r="O3" s="103" t="s">
        <v>322</v>
      </c>
      <c r="P3" s="103" t="s">
        <v>226</v>
      </c>
    </row>
    <row r="4" spans="1:16" s="103" customFormat="1" ht="16.5" customHeight="1">
      <c r="B4" s="542"/>
      <c r="C4" s="544"/>
      <c r="D4" s="58" t="s">
        <v>333</v>
      </c>
      <c r="E4" s="58" t="s">
        <v>333</v>
      </c>
      <c r="F4" s="366"/>
      <c r="G4" s="367"/>
      <c r="I4" s="299"/>
      <c r="J4" s="300"/>
      <c r="K4" s="338"/>
      <c r="L4" s="299" t="s">
        <v>333</v>
      </c>
      <c r="M4" s="300"/>
      <c r="O4" s="103" t="s">
        <v>333</v>
      </c>
      <c r="P4" s="103" t="s">
        <v>333</v>
      </c>
    </row>
    <row r="5" spans="1:16" s="103" customFormat="1" ht="21" customHeight="1">
      <c r="B5" s="83" t="s">
        <v>272</v>
      </c>
      <c r="C5" s="429">
        <v>25</v>
      </c>
      <c r="D5" s="62">
        <f>+[2]Resultado!D4</f>
        <v>483042204</v>
      </c>
      <c r="E5" s="62">
        <f>+[2]Resultado!E4</f>
        <v>475235519</v>
      </c>
      <c r="F5" s="62">
        <f>+[2]Resultado!F4</f>
        <v>143355594</v>
      </c>
      <c r="G5" s="62">
        <f>+[2]Resultado!G4</f>
        <v>138426249</v>
      </c>
      <c r="H5" s="102"/>
      <c r="I5" s="283">
        <f>+D5-E5</f>
        <v>7806685</v>
      </c>
      <c r="J5" s="283">
        <f>+F5-G5</f>
        <v>4929345</v>
      </c>
      <c r="K5" s="339"/>
      <c r="L5" s="283">
        <f>+D5-E5</f>
        <v>7806685</v>
      </c>
      <c r="M5" s="304">
        <f>IFERROR(L5/E5,1)</f>
        <v>1.6426981334280277E-2</v>
      </c>
      <c r="N5" s="378"/>
      <c r="O5" s="103">
        <v>153443847</v>
      </c>
      <c r="P5" s="103">
        <v>22559918</v>
      </c>
    </row>
    <row r="6" spans="1:16" s="103" customFormat="1" ht="21" customHeight="1">
      <c r="B6" s="83" t="s">
        <v>100</v>
      </c>
      <c r="C6" s="429"/>
      <c r="D6" s="62">
        <f>+[2]Resultado!D5</f>
        <v>-61764849</v>
      </c>
      <c r="E6" s="62">
        <f>+[2]Resultado!E5</f>
        <v>-68296428</v>
      </c>
      <c r="F6" s="62">
        <f>+[2]Resultado!F5</f>
        <v>-20594412</v>
      </c>
      <c r="G6" s="62">
        <f>+[2]Resultado!G5</f>
        <v>-20051992</v>
      </c>
      <c r="H6" s="102"/>
      <c r="I6" s="283">
        <f>+D6-E6</f>
        <v>6531579</v>
      </c>
      <c r="J6" s="283">
        <f t="shared" ref="J6:J30" si="0">+F6-G6</f>
        <v>-542420</v>
      </c>
      <c r="K6" s="456">
        <f>+J6-I6</f>
        <v>-7073999</v>
      </c>
      <c r="L6" s="283">
        <f>+D6-E6</f>
        <v>6531579</v>
      </c>
      <c r="M6" s="304">
        <f t="shared" ref="M6:M27" si="1">IFERROR(L6/E6,1)</f>
        <v>-9.5635733687272781E-2</v>
      </c>
      <c r="O6" s="103">
        <v>-22937295</v>
      </c>
      <c r="P6" s="103">
        <v>-3620790</v>
      </c>
    </row>
    <row r="7" spans="1:16" s="103" customFormat="1" ht="21" customHeight="1">
      <c r="B7" s="83" t="s">
        <v>91</v>
      </c>
      <c r="C7" s="429">
        <v>20</v>
      </c>
      <c r="D7" s="62">
        <f>+[2]Resultado!D6</f>
        <v>-60905888</v>
      </c>
      <c r="E7" s="62">
        <f>+[2]Resultado!E6</f>
        <v>-55865906</v>
      </c>
      <c r="F7" s="62">
        <f>+[2]Resultado!F6</f>
        <v>-20777145</v>
      </c>
      <c r="G7" s="62">
        <f>+[2]Resultado!G6</f>
        <v>-18985046</v>
      </c>
      <c r="H7" s="102"/>
      <c r="I7" s="283">
        <f t="shared" ref="I7:I30" si="2">+D7-E7</f>
        <v>-5039982</v>
      </c>
      <c r="J7" s="283">
        <f t="shared" si="0"/>
        <v>-1792099</v>
      </c>
      <c r="K7" s="456">
        <f>+J7-I7</f>
        <v>3247883</v>
      </c>
      <c r="L7" s="283">
        <f t="shared" ref="L7:L27" si="3">+D7-E7</f>
        <v>-5039982</v>
      </c>
      <c r="M7" s="304">
        <f t="shared" si="1"/>
        <v>9.0215703294957747E-2</v>
      </c>
      <c r="O7" s="103">
        <v>-20131108</v>
      </c>
      <c r="P7" s="103">
        <v>-3132403</v>
      </c>
    </row>
    <row r="8" spans="1:16" s="103" customFormat="1" ht="21" customHeight="1">
      <c r="B8" s="83" t="s">
        <v>92</v>
      </c>
      <c r="C8" s="429" t="s">
        <v>426</v>
      </c>
      <c r="D8" s="62">
        <f>+[2]Resultado!D7</f>
        <v>-60804243</v>
      </c>
      <c r="E8" s="62">
        <f>+[2]Resultado!E7</f>
        <v>-56574217</v>
      </c>
      <c r="F8" s="62">
        <f>+[2]Resultado!F7</f>
        <v>-20222286</v>
      </c>
      <c r="G8" s="62">
        <f>+[2]Resultado!G7</f>
        <v>-19266471</v>
      </c>
      <c r="H8" s="102"/>
      <c r="I8" s="283">
        <f t="shared" si="2"/>
        <v>-4230026</v>
      </c>
      <c r="J8" s="283">
        <f t="shared" si="0"/>
        <v>-955815</v>
      </c>
      <c r="K8" s="339"/>
      <c r="L8" s="283">
        <f t="shared" si="3"/>
        <v>-4230026</v>
      </c>
      <c r="M8" s="304">
        <f t="shared" si="1"/>
        <v>7.4769501449750517E-2</v>
      </c>
      <c r="O8" s="103">
        <v>-18480782</v>
      </c>
      <c r="P8" s="103">
        <v>497416</v>
      </c>
    </row>
    <row r="9" spans="1:16" s="103" customFormat="1" ht="21" customHeight="1">
      <c r="B9" s="83" t="s">
        <v>93</v>
      </c>
      <c r="C9" s="494" t="s">
        <v>427</v>
      </c>
      <c r="D9" s="62">
        <f>+[2]Resultado!D8</f>
        <v>-120284220</v>
      </c>
      <c r="E9" s="62">
        <f>+[2]Resultado!E8</f>
        <v>-110473443</v>
      </c>
      <c r="F9" s="62">
        <f>+[2]Resultado!F8</f>
        <v>-43625781</v>
      </c>
      <c r="G9" s="62">
        <f>+[2]Resultado!G8</f>
        <v>-37684608</v>
      </c>
      <c r="H9" s="102"/>
      <c r="I9" s="283">
        <f t="shared" si="2"/>
        <v>-9810777</v>
      </c>
      <c r="J9" s="283">
        <f t="shared" si="0"/>
        <v>-5941173</v>
      </c>
      <c r="K9" s="339"/>
      <c r="L9" s="283">
        <f t="shared" si="3"/>
        <v>-9810777</v>
      </c>
      <c r="M9" s="304">
        <f t="shared" si="1"/>
        <v>8.8806655550691949E-2</v>
      </c>
      <c r="O9" s="103">
        <v>-38282319</v>
      </c>
      <c r="P9" s="103">
        <v>-10272506</v>
      </c>
    </row>
    <row r="10" spans="1:16" s="103" customFormat="1" ht="21" customHeight="1">
      <c r="B10" s="83" t="s">
        <v>264</v>
      </c>
      <c r="C10" s="429">
        <v>28</v>
      </c>
      <c r="D10" s="62">
        <f>+[2]Resultado!D9</f>
        <v>2237091</v>
      </c>
      <c r="E10" s="62">
        <f>+[2]Resultado!E9</f>
        <v>-1774124</v>
      </c>
      <c r="F10" s="62">
        <f>+[2]Resultado!F9</f>
        <v>-267717</v>
      </c>
      <c r="G10" s="62">
        <f>+[2]Resultado!G9</f>
        <v>117193</v>
      </c>
      <c r="H10" s="102"/>
      <c r="I10" s="283">
        <f t="shared" si="2"/>
        <v>4011215</v>
      </c>
      <c r="J10" s="283">
        <f t="shared" si="0"/>
        <v>-384910</v>
      </c>
      <c r="K10" s="339"/>
      <c r="L10" s="283">
        <f t="shared" si="3"/>
        <v>4011215</v>
      </c>
      <c r="M10" s="304">
        <f t="shared" si="1"/>
        <v>-2.2609552658100562</v>
      </c>
      <c r="O10" s="103">
        <v>-1279921</v>
      </c>
      <c r="P10" s="103">
        <v>-325151</v>
      </c>
    </row>
    <row r="11" spans="1:16" s="103" customFormat="1" ht="21" customHeight="1">
      <c r="B11" s="314" t="s">
        <v>281</v>
      </c>
      <c r="C11" s="315"/>
      <c r="D11" s="315">
        <f>+SUM(D5:D10)</f>
        <v>181520095</v>
      </c>
      <c r="E11" s="315">
        <f>+SUM(E5:E10)</f>
        <v>182251401</v>
      </c>
      <c r="F11" s="315">
        <f>+SUM(F5:F10)</f>
        <v>37868253</v>
      </c>
      <c r="G11" s="315">
        <f>+SUM(G5:G10)</f>
        <v>42555325</v>
      </c>
      <c r="H11" s="102"/>
      <c r="I11" s="283">
        <f t="shared" si="2"/>
        <v>-731306</v>
      </c>
      <c r="J11" s="283">
        <f t="shared" si="0"/>
        <v>-4687072</v>
      </c>
      <c r="K11" s="339"/>
      <c r="L11" s="283">
        <f t="shared" si="3"/>
        <v>-731306</v>
      </c>
      <c r="M11" s="304">
        <f t="shared" si="1"/>
        <v>-4.0126221032451758E-3</v>
      </c>
      <c r="O11" s="103">
        <v>55451683</v>
      </c>
    </row>
    <row r="12" spans="1:16" s="103" customFormat="1" ht="21" customHeight="1">
      <c r="B12" s="83" t="s">
        <v>97</v>
      </c>
      <c r="C12" s="429">
        <v>28</v>
      </c>
      <c r="D12" s="62">
        <f>+[2]Resultado!D11</f>
        <v>7660824</v>
      </c>
      <c r="E12" s="62">
        <f>+[2]Resultado!E11</f>
        <v>12898623</v>
      </c>
      <c r="F12" s="62">
        <f>+[2]Resultado!F11</f>
        <v>2658538</v>
      </c>
      <c r="G12" s="62">
        <f>+[2]Resultado!G11</f>
        <v>2246465</v>
      </c>
      <c r="H12" s="102"/>
      <c r="I12" s="283">
        <f t="shared" si="2"/>
        <v>-5237799</v>
      </c>
      <c r="J12" s="283">
        <f t="shared" si="0"/>
        <v>412073</v>
      </c>
      <c r="K12" s="339"/>
      <c r="L12" s="283">
        <f t="shared" si="3"/>
        <v>-5237799</v>
      </c>
      <c r="M12" s="304">
        <f t="shared" si="1"/>
        <v>-0.40607427630065629</v>
      </c>
      <c r="O12" s="103">
        <v>7264572</v>
      </c>
      <c r="P12" s="103">
        <v>3312334</v>
      </c>
    </row>
    <row r="13" spans="1:16" s="103" customFormat="1" ht="21" customHeight="1">
      <c r="B13" s="83" t="s">
        <v>239</v>
      </c>
      <c r="C13" s="429">
        <v>28</v>
      </c>
      <c r="D13" s="62">
        <f>+[2]Resultado!D12</f>
        <v>-37240845</v>
      </c>
      <c r="E13" s="62">
        <f>+[2]Resultado!E12</f>
        <v>-36684053</v>
      </c>
      <c r="F13" s="62">
        <f>+[2]Resultado!F12</f>
        <v>-13301533</v>
      </c>
      <c r="G13" s="62">
        <f>+[2]Resultado!G12</f>
        <v>-12416291</v>
      </c>
      <c r="H13" s="102"/>
      <c r="I13" s="283">
        <f t="shared" si="2"/>
        <v>-556792</v>
      </c>
      <c r="J13" s="283">
        <f t="shared" si="0"/>
        <v>-885242</v>
      </c>
      <c r="K13" s="339"/>
      <c r="L13" s="283">
        <f t="shared" si="3"/>
        <v>-556792</v>
      </c>
      <c r="M13" s="304">
        <f t="shared" si="1"/>
        <v>1.5178039351322494E-2</v>
      </c>
      <c r="O13" s="103">
        <v>-12512574</v>
      </c>
      <c r="P13" s="103">
        <v>-4722344</v>
      </c>
    </row>
    <row r="14" spans="1:16" s="103" customFormat="1" ht="21" customHeight="1">
      <c r="B14" s="428" t="s">
        <v>359</v>
      </c>
      <c r="C14" s="429">
        <v>24</v>
      </c>
      <c r="D14" s="62">
        <f>+[2]Resultado!D13</f>
        <v>-6550791</v>
      </c>
      <c r="E14" s="62">
        <f>+[2]Resultado!E13</f>
        <v>-10816911</v>
      </c>
      <c r="F14" s="62">
        <f>+[2]Resultado!F13</f>
        <v>36709</v>
      </c>
      <c r="G14" s="62">
        <f>+[2]Resultado!G13</f>
        <v>-2630571</v>
      </c>
      <c r="H14" s="102"/>
      <c r="I14" s="283">
        <f t="shared" si="2"/>
        <v>4266120</v>
      </c>
      <c r="J14" s="283">
        <f t="shared" si="0"/>
        <v>2667280</v>
      </c>
      <c r="K14" s="339"/>
      <c r="L14" s="283">
        <f t="shared" si="3"/>
        <v>4266120</v>
      </c>
      <c r="M14" s="304">
        <f t="shared" si="1"/>
        <v>-0.39439355653383856</v>
      </c>
    </row>
    <row r="15" spans="1:16" s="103" customFormat="1" ht="21" customHeight="1">
      <c r="B15" s="83" t="s">
        <v>282</v>
      </c>
      <c r="C15" s="429">
        <v>28</v>
      </c>
      <c r="D15" s="62">
        <f>+[2]Resultado!D14</f>
        <v>268012</v>
      </c>
      <c r="E15" s="62">
        <f>+[2]Resultado!E14</f>
        <v>2514886</v>
      </c>
      <c r="F15" s="62">
        <f>+[2]Resultado!F14</f>
        <v>-197664</v>
      </c>
      <c r="G15" s="62">
        <f>+[2]Resultado!G14</f>
        <v>2013552</v>
      </c>
      <c r="H15" s="102"/>
      <c r="I15" s="283">
        <f t="shared" si="2"/>
        <v>-2246874</v>
      </c>
      <c r="J15" s="283">
        <f t="shared" si="0"/>
        <v>-2211216</v>
      </c>
      <c r="K15" s="339"/>
      <c r="L15" s="283">
        <f t="shared" si="3"/>
        <v>-2246874</v>
      </c>
      <c r="M15" s="304">
        <f t="shared" si="1"/>
        <v>-0.89342976182618217</v>
      </c>
      <c r="O15" s="103">
        <v>429871</v>
      </c>
      <c r="P15" s="103">
        <v>1916967</v>
      </c>
    </row>
    <row r="16" spans="1:16" s="103" customFormat="1" ht="21" customHeight="1">
      <c r="B16" s="83" t="s">
        <v>128</v>
      </c>
      <c r="C16" s="429">
        <v>30</v>
      </c>
      <c r="D16" s="62">
        <f>+[2]Resultado!D15</f>
        <v>-31383348</v>
      </c>
      <c r="E16" s="62">
        <f>+[2]Resultado!E15</f>
        <v>-29887119</v>
      </c>
      <c r="F16" s="62">
        <f>+[2]Resultado!F15</f>
        <v>-9916852</v>
      </c>
      <c r="G16" s="62">
        <f>+[2]Resultado!G15</f>
        <v>-3125558</v>
      </c>
      <c r="H16" s="102"/>
      <c r="I16" s="283">
        <f t="shared" si="2"/>
        <v>-1496229</v>
      </c>
      <c r="J16" s="283">
        <f t="shared" si="0"/>
        <v>-6791294</v>
      </c>
      <c r="K16" s="339"/>
      <c r="L16" s="283">
        <f t="shared" si="3"/>
        <v>-1496229</v>
      </c>
      <c r="M16" s="304">
        <f t="shared" si="1"/>
        <v>5.006267081146229E-2</v>
      </c>
      <c r="O16" s="103">
        <v>-13432032</v>
      </c>
      <c r="P16" s="103">
        <v>24662935</v>
      </c>
    </row>
    <row r="17" spans="2:16" s="103" customFormat="1" ht="21" customHeight="1">
      <c r="B17" s="83" t="s">
        <v>293</v>
      </c>
      <c r="C17" s="65"/>
      <c r="D17" s="62">
        <f>+[2]Resultado!D16</f>
        <v>0</v>
      </c>
      <c r="E17" s="62">
        <f>+[2]Resultado!E16</f>
        <v>0</v>
      </c>
      <c r="F17" s="62">
        <f>+[2]Resultado!F16</f>
        <v>0</v>
      </c>
      <c r="G17" s="62">
        <f>+[2]Resultado!G16</f>
        <v>0</v>
      </c>
      <c r="H17" s="102"/>
      <c r="I17" s="283">
        <f t="shared" si="2"/>
        <v>0</v>
      </c>
      <c r="J17" s="283">
        <f t="shared" si="0"/>
        <v>0</v>
      </c>
      <c r="K17" s="339"/>
      <c r="L17" s="283">
        <f t="shared" si="3"/>
        <v>0</v>
      </c>
      <c r="M17" s="304">
        <f t="shared" si="1"/>
        <v>1</v>
      </c>
    </row>
    <row r="18" spans="2:16" s="103" customFormat="1" ht="21" customHeight="1">
      <c r="B18" s="87" t="s">
        <v>240</v>
      </c>
      <c r="C18" s="88"/>
      <c r="D18" s="89">
        <f>SUM(D11:D16)</f>
        <v>114273947</v>
      </c>
      <c r="E18" s="89">
        <f>SUM(E11:E16)</f>
        <v>120276827</v>
      </c>
      <c r="F18" s="89">
        <f>SUM(F11:F16)</f>
        <v>17147451</v>
      </c>
      <c r="G18" s="89">
        <f>SUM(G11:G16)</f>
        <v>28642922</v>
      </c>
      <c r="H18" s="102"/>
      <c r="I18" s="283">
        <f t="shared" si="2"/>
        <v>-6002880</v>
      </c>
      <c r="J18" s="283">
        <f t="shared" si="0"/>
        <v>-11495471</v>
      </c>
      <c r="K18" s="340"/>
      <c r="L18" s="283">
        <f t="shared" si="3"/>
        <v>-6002880</v>
      </c>
      <c r="M18" s="304">
        <f t="shared" si="1"/>
        <v>-4.9908865653730622E-2</v>
      </c>
      <c r="O18" s="103">
        <v>37201520</v>
      </c>
      <c r="P18" s="103">
        <v>36271781</v>
      </c>
    </row>
    <row r="19" spans="2:16" s="103" customFormat="1" ht="21" customHeight="1">
      <c r="B19" s="83" t="s">
        <v>241</v>
      </c>
      <c r="C19" s="429">
        <v>15</v>
      </c>
      <c r="D19" s="62">
        <f>+[2]Resultado!D18</f>
        <v>-24335533</v>
      </c>
      <c r="E19" s="62">
        <f>+[2]Resultado!E18</f>
        <v>-25131820</v>
      </c>
      <c r="F19" s="62">
        <f>+[2]Resultado!F18</f>
        <v>-2617036</v>
      </c>
      <c r="G19" s="62">
        <f>+[2]Resultado!G18</f>
        <v>-7166643</v>
      </c>
      <c r="H19" s="102"/>
      <c r="I19" s="283">
        <f t="shared" si="2"/>
        <v>796287</v>
      </c>
      <c r="J19" s="283">
        <f t="shared" si="0"/>
        <v>4549607</v>
      </c>
      <c r="K19" s="339"/>
      <c r="L19" s="283">
        <f t="shared" si="3"/>
        <v>796287</v>
      </c>
      <c r="M19" s="304">
        <f t="shared" si="1"/>
        <v>-3.1684414419648081E-2</v>
      </c>
      <c r="O19" s="103">
        <v>-3853023</v>
      </c>
      <c r="P19" s="103">
        <v>-12612776</v>
      </c>
    </row>
    <row r="20" spans="2:16" s="103" customFormat="1" ht="21" customHeight="1">
      <c r="B20" s="87" t="s">
        <v>242</v>
      </c>
      <c r="C20" s="90"/>
      <c r="D20" s="89">
        <f>+D18+D19</f>
        <v>89938414</v>
      </c>
      <c r="E20" s="89">
        <f>+E18+E19</f>
        <v>95145007</v>
      </c>
      <c r="F20" s="89">
        <f>+F18+F19</f>
        <v>14530415</v>
      </c>
      <c r="G20" s="89">
        <f>+G18+G19</f>
        <v>21476279</v>
      </c>
      <c r="H20" s="102"/>
      <c r="I20" s="283">
        <f t="shared" si="2"/>
        <v>-5206593</v>
      </c>
      <c r="J20" s="283">
        <f t="shared" si="0"/>
        <v>-6945864</v>
      </c>
      <c r="K20" s="340"/>
      <c r="L20" s="283">
        <f t="shared" si="3"/>
        <v>-5206593</v>
      </c>
      <c r="M20" s="304">
        <f t="shared" si="1"/>
        <v>-5.4722713930747832E-2</v>
      </c>
      <c r="O20" s="103">
        <v>33348497</v>
      </c>
      <c r="P20" s="103">
        <v>23659005</v>
      </c>
    </row>
    <row r="21" spans="2:16" s="103" customFormat="1" ht="23.25" customHeight="1">
      <c r="B21" s="85" t="s">
        <v>294</v>
      </c>
      <c r="C21" s="91"/>
      <c r="D21" s="62">
        <f>+[10]Resultado!D20</f>
        <v>0</v>
      </c>
      <c r="E21" s="62">
        <f>+[10]Resultado!E20</f>
        <v>0</v>
      </c>
      <c r="F21" s="62"/>
      <c r="G21" s="62"/>
      <c r="H21" s="102"/>
      <c r="I21" s="283">
        <f t="shared" si="2"/>
        <v>0</v>
      </c>
      <c r="J21" s="283">
        <f t="shared" si="0"/>
        <v>0</v>
      </c>
      <c r="K21" s="339"/>
      <c r="L21" s="283">
        <f t="shared" si="3"/>
        <v>0</v>
      </c>
      <c r="M21" s="304">
        <f t="shared" si="1"/>
        <v>1</v>
      </c>
      <c r="O21" s="103">
        <v>0</v>
      </c>
      <c r="P21" s="103">
        <v>0</v>
      </c>
    </row>
    <row r="22" spans="2:16" s="103" customFormat="1" ht="23.25" hidden="1" customHeight="1" thickBot="1">
      <c r="B22" s="85"/>
      <c r="C22" s="91"/>
      <c r="D22" s="62"/>
      <c r="E22" s="62"/>
      <c r="F22" s="84"/>
      <c r="G22" s="63"/>
      <c r="H22" s="102"/>
      <c r="I22" s="283">
        <f t="shared" si="2"/>
        <v>0</v>
      </c>
      <c r="J22" s="283">
        <f t="shared" si="0"/>
        <v>0</v>
      </c>
      <c r="K22" s="339"/>
      <c r="L22" s="283">
        <f t="shared" si="3"/>
        <v>0</v>
      </c>
      <c r="M22" s="304">
        <f t="shared" si="1"/>
        <v>1</v>
      </c>
    </row>
    <row r="23" spans="2:16" s="103" customFormat="1" ht="21" customHeight="1">
      <c r="B23" s="87" t="s">
        <v>129</v>
      </c>
      <c r="C23" s="90"/>
      <c r="D23" s="89">
        <f>+D20+D21</f>
        <v>89938414</v>
      </c>
      <c r="E23" s="89">
        <f>+E20+E21</f>
        <v>95145007</v>
      </c>
      <c r="F23" s="89">
        <f>+F20+F21</f>
        <v>14530415</v>
      </c>
      <c r="G23" s="89">
        <f>+G20+G21</f>
        <v>21476279</v>
      </c>
      <c r="H23" s="102"/>
      <c r="I23" s="283">
        <f t="shared" si="2"/>
        <v>-5206593</v>
      </c>
      <c r="J23" s="283">
        <f t="shared" si="0"/>
        <v>-6945864</v>
      </c>
      <c r="K23" s="340"/>
      <c r="L23" s="283">
        <f t="shared" si="3"/>
        <v>-5206593</v>
      </c>
      <c r="M23" s="304">
        <f t="shared" si="1"/>
        <v>-5.4722713930747832E-2</v>
      </c>
      <c r="O23" s="103">
        <v>33348497</v>
      </c>
      <c r="P23" s="103">
        <v>23659005</v>
      </c>
    </row>
    <row r="24" spans="2:16" s="103" customFormat="1" ht="21" customHeight="1">
      <c r="B24" s="93" t="s">
        <v>243</v>
      </c>
      <c r="C24" s="94" t="s">
        <v>4</v>
      </c>
      <c r="D24" s="95"/>
      <c r="E24" s="86"/>
      <c r="F24" s="96"/>
      <c r="G24" s="92"/>
      <c r="H24" s="102"/>
      <c r="I24" s="283">
        <f t="shared" si="2"/>
        <v>0</v>
      </c>
      <c r="J24" s="283">
        <f t="shared" si="0"/>
        <v>0</v>
      </c>
      <c r="K24" s="339"/>
      <c r="L24" s="283">
        <f t="shared" si="3"/>
        <v>0</v>
      </c>
      <c r="M24" s="304">
        <f t="shared" si="1"/>
        <v>1</v>
      </c>
    </row>
    <row r="25" spans="2:16" s="103" customFormat="1" ht="21" customHeight="1">
      <c r="B25" s="97" t="s">
        <v>103</v>
      </c>
      <c r="C25" s="90"/>
      <c r="D25" s="98">
        <f>+D23-D26</f>
        <v>44329454</v>
      </c>
      <c r="E25" s="98">
        <f>+E23-E26</f>
        <v>47001310</v>
      </c>
      <c r="F25" s="98">
        <f>+F23-F26</f>
        <v>7097925</v>
      </c>
      <c r="G25" s="98">
        <f>+G23-G26</f>
        <v>10468992</v>
      </c>
      <c r="H25" s="102"/>
      <c r="I25" s="283">
        <f t="shared" si="2"/>
        <v>-2671856</v>
      </c>
      <c r="J25" s="283">
        <f t="shared" si="0"/>
        <v>-3371067</v>
      </c>
      <c r="K25" s="340"/>
      <c r="L25" s="283">
        <f t="shared" si="3"/>
        <v>-2671856</v>
      </c>
      <c r="M25" s="304">
        <f t="shared" si="1"/>
        <v>-5.6846415557353612E-2</v>
      </c>
      <c r="O25" s="103">
        <v>7837470</v>
      </c>
      <c r="P25" s="103">
        <v>3113416</v>
      </c>
    </row>
    <row r="26" spans="2:16" s="103" customFormat="1" ht="21" customHeight="1">
      <c r="B26" s="85" t="s">
        <v>244</v>
      </c>
      <c r="C26" s="429">
        <v>22</v>
      </c>
      <c r="D26" s="62">
        <f>+[2]Resultado!D25</f>
        <v>45608960</v>
      </c>
      <c r="E26" s="62">
        <f>+[2]Resultado!E25</f>
        <v>48143697</v>
      </c>
      <c r="F26" s="62">
        <f>+[2]Resultado!F25</f>
        <v>7432490</v>
      </c>
      <c r="G26" s="62">
        <f>+[2]Resultado!G25</f>
        <v>11007287</v>
      </c>
      <c r="H26" s="102"/>
      <c r="I26" s="283">
        <f t="shared" si="2"/>
        <v>-2534737</v>
      </c>
      <c r="J26" s="283">
        <f t="shared" si="0"/>
        <v>-3574797</v>
      </c>
      <c r="K26" s="339"/>
      <c r="L26" s="283">
        <f t="shared" si="3"/>
        <v>-2534737</v>
      </c>
      <c r="M26" s="304">
        <f t="shared" si="1"/>
        <v>-5.2649404967798796E-2</v>
      </c>
      <c r="O26" s="103">
        <v>25511027</v>
      </c>
      <c r="P26" s="103">
        <v>20545589</v>
      </c>
    </row>
    <row r="27" spans="2:16" s="103" customFormat="1" ht="21" customHeight="1">
      <c r="B27" s="99" t="s">
        <v>130</v>
      </c>
      <c r="C27" s="100"/>
      <c r="D27" s="98">
        <f>+D25+D26</f>
        <v>89938414</v>
      </c>
      <c r="E27" s="98">
        <f>+E25+E26</f>
        <v>95145007</v>
      </c>
      <c r="F27" s="98">
        <f>+F25+F26</f>
        <v>14530415</v>
      </c>
      <c r="G27" s="98">
        <f>+G25+G26</f>
        <v>21476279</v>
      </c>
      <c r="H27" s="102"/>
      <c r="I27" s="283">
        <f t="shared" si="2"/>
        <v>-5206593</v>
      </c>
      <c r="J27" s="283">
        <f t="shared" si="0"/>
        <v>-6945864</v>
      </c>
      <c r="K27" s="340"/>
      <c r="L27" s="283">
        <f t="shared" si="3"/>
        <v>-5206593</v>
      </c>
      <c r="M27" s="304">
        <f t="shared" si="1"/>
        <v>-5.4722713930747832E-2</v>
      </c>
      <c r="O27" s="103">
        <v>33348497</v>
      </c>
      <c r="P27" s="103">
        <v>23659005</v>
      </c>
    </row>
    <row r="28" spans="2:16" s="103" customFormat="1" ht="21" customHeight="1">
      <c r="B28" s="101" t="s">
        <v>245</v>
      </c>
      <c r="C28" s="94"/>
      <c r="D28" s="62">
        <f>+[11]Resultado!D27</f>
        <v>0</v>
      </c>
      <c r="E28" s="62">
        <f>+[11]Resultado!E27</f>
        <v>0</v>
      </c>
      <c r="F28" s="62"/>
      <c r="G28" s="62"/>
      <c r="I28" s="283">
        <f t="shared" si="2"/>
        <v>0</v>
      </c>
      <c r="J28" s="283">
        <f t="shared" si="0"/>
        <v>0</v>
      </c>
      <c r="K28" s="339"/>
      <c r="L28" s="283"/>
      <c r="M28" s="304"/>
      <c r="O28" s="103">
        <v>7.8374699999999997</v>
      </c>
    </row>
    <row r="29" spans="2:16" s="103" customFormat="1" ht="21" customHeight="1">
      <c r="B29" s="278" t="s">
        <v>334</v>
      </c>
      <c r="C29" s="429">
        <v>31</v>
      </c>
      <c r="D29" s="279">
        <f>+D25/1000000</f>
        <v>44.329453999999998</v>
      </c>
      <c r="E29" s="279">
        <f>+E25/1000000</f>
        <v>47.001309999999997</v>
      </c>
      <c r="F29" s="279">
        <f>+F25/1000000</f>
        <v>7.097925</v>
      </c>
      <c r="G29" s="279">
        <f>+G25/1000000</f>
        <v>10.468992</v>
      </c>
      <c r="I29" s="283">
        <f t="shared" si="2"/>
        <v>-2.6718559999999982</v>
      </c>
      <c r="J29" s="283">
        <f t="shared" si="0"/>
        <v>-3.371067</v>
      </c>
      <c r="K29" s="339"/>
      <c r="L29" s="283"/>
      <c r="M29" s="304"/>
    </row>
    <row r="30" spans="2:16" s="103" customFormat="1" ht="21" customHeight="1" thickBot="1">
      <c r="B30" s="104" t="s">
        <v>131</v>
      </c>
      <c r="C30" s="105"/>
      <c r="D30" s="106">
        <f>+D29</f>
        <v>44.329453999999998</v>
      </c>
      <c r="E30" s="106">
        <f>+E29</f>
        <v>47.001309999999997</v>
      </c>
      <c r="F30" s="106">
        <f t="shared" ref="F30:G30" si="4">+F29</f>
        <v>7.097925</v>
      </c>
      <c r="G30" s="106">
        <f t="shared" si="4"/>
        <v>10.468992</v>
      </c>
      <c r="I30" s="283">
        <f t="shared" si="2"/>
        <v>-2.6718559999999982</v>
      </c>
      <c r="J30" s="283">
        <f t="shared" si="0"/>
        <v>-3.371067</v>
      </c>
      <c r="K30" s="339"/>
      <c r="L30" s="305"/>
      <c r="M30" s="306"/>
      <c r="O30" s="103">
        <v>7.8374699999999997</v>
      </c>
    </row>
    <row r="31" spans="2:16" ht="9" customHeight="1">
      <c r="B31" s="112"/>
      <c r="C31" s="112"/>
      <c r="D31" s="112"/>
      <c r="E31" s="112"/>
      <c r="F31" s="128"/>
      <c r="G31" s="128"/>
    </row>
    <row r="32" spans="2:16">
      <c r="D32" s="128"/>
      <c r="E32" s="128"/>
      <c r="F32" s="128"/>
      <c r="G32" s="128"/>
    </row>
    <row r="34" spans="2:4">
      <c r="B34" s="111" t="s">
        <v>464</v>
      </c>
      <c r="D34" s="128">
        <f>+D25</f>
        <v>44329454</v>
      </c>
    </row>
    <row r="35" spans="2:4" ht="15">
      <c r="B35" s="111" t="s">
        <v>465</v>
      </c>
      <c r="D35" s="407">
        <v>42862000</v>
      </c>
    </row>
    <row r="36" spans="2:4">
      <c r="D36" s="128">
        <f>+D34-D35</f>
        <v>1467454</v>
      </c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C00000"/>
    <pageSetUpPr fitToPage="1"/>
  </sheetPr>
  <dimension ref="B1:K63"/>
  <sheetViews>
    <sheetView showGridLines="0" topLeftCell="A41" zoomScale="80" zoomScaleNormal="80" workbookViewId="0">
      <selection activeCell="J42" sqref="J42"/>
    </sheetView>
  </sheetViews>
  <sheetFormatPr baseColWidth="10" defaultColWidth="11.42578125" defaultRowHeight="12.75"/>
  <cols>
    <col min="1" max="1" width="7.42578125" style="111" customWidth="1"/>
    <col min="2" max="2" width="71.85546875" style="111" customWidth="1"/>
    <col min="3" max="3" width="5.5703125" style="111" customWidth="1"/>
    <col min="4" max="5" width="14" style="111" customWidth="1"/>
    <col min="6" max="6" width="4.85546875" style="111" customWidth="1"/>
    <col min="7" max="7" width="14.85546875" style="296" customWidth="1"/>
    <col min="8" max="8" width="11.42578125" style="298"/>
    <col min="9" max="16384" width="11.42578125" style="111"/>
  </cols>
  <sheetData>
    <row r="1" spans="2:11" ht="13.5" thickBot="1"/>
    <row r="2" spans="2:11" s="112" customFormat="1" ht="12" customHeight="1">
      <c r="B2" s="548" t="s">
        <v>210</v>
      </c>
      <c r="C2" s="550" t="s">
        <v>106</v>
      </c>
      <c r="D2" s="277">
        <f>+Resultado!D3</f>
        <v>45565</v>
      </c>
      <c r="E2" s="277">
        <f>+Resultado!E3</f>
        <v>45199</v>
      </c>
      <c r="G2" s="545" t="s">
        <v>226</v>
      </c>
      <c r="H2" s="546"/>
      <c r="K2" s="112" t="s">
        <v>226</v>
      </c>
    </row>
    <row r="3" spans="2:11" s="112" customFormat="1" ht="12" customHeight="1">
      <c r="B3" s="549"/>
      <c r="C3" s="551"/>
      <c r="D3" s="113" t="s">
        <v>333</v>
      </c>
      <c r="E3" s="113" t="s">
        <v>333</v>
      </c>
      <c r="G3" s="307" t="s">
        <v>333</v>
      </c>
      <c r="H3" s="308" t="s">
        <v>70</v>
      </c>
      <c r="K3" s="112" t="s">
        <v>333</v>
      </c>
    </row>
    <row r="4" spans="2:11" s="116" customFormat="1" ht="21" customHeight="1">
      <c r="B4" s="107" t="s">
        <v>133</v>
      </c>
      <c r="C4" s="108"/>
      <c r="D4" s="316">
        <f>+[2]Flujo!D5</f>
        <v>579308070</v>
      </c>
      <c r="E4" s="316">
        <f>+[7]Flujo!$E$5</f>
        <v>562603049</v>
      </c>
      <c r="F4" s="115"/>
      <c r="G4" s="283">
        <f t="shared" ref="G4:G15" si="0">ROUND(+(D4-E4),0)</f>
        <v>16705021</v>
      </c>
      <c r="H4" s="309">
        <f>+IFERROR(G4/E4,1)</f>
        <v>2.9692375520702165E-2</v>
      </c>
      <c r="I4" s="112" t="s">
        <v>332</v>
      </c>
      <c r="K4" s="116">
        <v>64339634</v>
      </c>
    </row>
    <row r="5" spans="2:11" s="116" customFormat="1" ht="25.5">
      <c r="B5" s="107" t="s">
        <v>135</v>
      </c>
      <c r="C5" s="108"/>
      <c r="D5" s="316">
        <f>+[2]Flujo!D6</f>
        <v>0</v>
      </c>
      <c r="E5" s="316">
        <f>+[2]Flujo!E6</f>
        <v>0</v>
      </c>
      <c r="F5" s="115"/>
      <c r="G5" s="283">
        <f t="shared" si="0"/>
        <v>0</v>
      </c>
      <c r="H5" s="309"/>
      <c r="I5" s="112"/>
      <c r="K5" s="116">
        <v>0</v>
      </c>
    </row>
    <row r="6" spans="2:11" s="116" customFormat="1" ht="25.5">
      <c r="B6" s="107" t="s">
        <v>134</v>
      </c>
      <c r="C6" s="108"/>
      <c r="D6" s="316">
        <f>+[2]Flujo!D7</f>
        <v>0</v>
      </c>
      <c r="E6" s="316">
        <f>+[2]Flujo!E7</f>
        <v>0</v>
      </c>
      <c r="F6" s="115"/>
      <c r="G6" s="283">
        <f t="shared" si="0"/>
        <v>0</v>
      </c>
      <c r="H6" s="309"/>
      <c r="I6" s="112"/>
      <c r="K6" s="116">
        <v>0</v>
      </c>
    </row>
    <row r="7" spans="2:11" s="116" customFormat="1" ht="21" customHeight="1">
      <c r="B7" s="107" t="s">
        <v>136</v>
      </c>
      <c r="C7" s="108"/>
      <c r="D7" s="316">
        <f>+[2]Flujo!D8</f>
        <v>0</v>
      </c>
      <c r="E7" s="316">
        <f>+[2]Flujo!E8</f>
        <v>0</v>
      </c>
      <c r="F7" s="115"/>
      <c r="G7" s="283">
        <f t="shared" si="0"/>
        <v>0</v>
      </c>
      <c r="H7" s="309">
        <f t="shared" ref="H7:H38" si="1">+IFERROR(G7/E7,1)</f>
        <v>1</v>
      </c>
      <c r="I7" s="112"/>
      <c r="K7" s="116">
        <v>0</v>
      </c>
    </row>
    <row r="8" spans="2:11" s="116" customFormat="1" ht="21" customHeight="1">
      <c r="B8" s="107" t="s">
        <v>137</v>
      </c>
      <c r="C8" s="108"/>
      <c r="D8" s="316">
        <f>+[2]Flujo!D9</f>
        <v>4195632</v>
      </c>
      <c r="E8" s="316">
        <f>+[7]Flujo!$E$9</f>
        <v>3567178</v>
      </c>
      <c r="F8" s="115"/>
      <c r="G8" s="283">
        <f t="shared" si="0"/>
        <v>628454</v>
      </c>
      <c r="H8" s="309">
        <f t="shared" si="1"/>
        <v>0.17617679857859631</v>
      </c>
      <c r="I8" s="112"/>
      <c r="K8" s="116">
        <v>-1083138</v>
      </c>
    </row>
    <row r="9" spans="2:11" s="116" customFormat="1" ht="21" customHeight="1">
      <c r="B9" s="109" t="s">
        <v>132</v>
      </c>
      <c r="C9" s="108"/>
      <c r="D9" s="317">
        <f>SUM(D4:D8)</f>
        <v>583503702</v>
      </c>
      <c r="E9" s="317">
        <f>SUM(E4:E8)</f>
        <v>566170227</v>
      </c>
      <c r="F9" s="115"/>
      <c r="G9" s="284">
        <f t="shared" si="0"/>
        <v>17333475</v>
      </c>
      <c r="H9" s="311">
        <f t="shared" si="1"/>
        <v>3.0615306445635475E-2</v>
      </c>
      <c r="I9" s="112"/>
      <c r="K9" s="116">
        <v>63256496</v>
      </c>
    </row>
    <row r="10" spans="2:11" s="116" customFormat="1" ht="21" customHeight="1">
      <c r="B10" s="107" t="s">
        <v>138</v>
      </c>
      <c r="C10" s="108"/>
      <c r="D10" s="316">
        <f>+[2]Flujo!D11</f>
        <v>-216134462</v>
      </c>
      <c r="E10" s="316">
        <f>+[7]Flujo!$E$11</f>
        <v>-205617150</v>
      </c>
      <c r="F10" s="115"/>
      <c r="G10" s="283">
        <f t="shared" si="0"/>
        <v>-10517312</v>
      </c>
      <c r="H10" s="309">
        <f t="shared" si="1"/>
        <v>5.1149974600854062E-2</v>
      </c>
      <c r="I10" s="112" t="s">
        <v>331</v>
      </c>
      <c r="K10" s="116">
        <v>-19440119</v>
      </c>
    </row>
    <row r="11" spans="2:11" s="116" customFormat="1" ht="21" customHeight="1">
      <c r="B11" s="107" t="s">
        <v>139</v>
      </c>
      <c r="C11" s="108"/>
      <c r="D11" s="316">
        <f>+[2]Flujo!D12</f>
        <v>0</v>
      </c>
      <c r="E11" s="316">
        <f>+[2]Flujo!E12</f>
        <v>0</v>
      </c>
      <c r="F11" s="115"/>
      <c r="G11" s="283">
        <f t="shared" si="0"/>
        <v>0</v>
      </c>
      <c r="H11" s="309">
        <f t="shared" si="1"/>
        <v>1</v>
      </c>
      <c r="I11" s="112"/>
      <c r="K11" s="116">
        <v>0</v>
      </c>
    </row>
    <row r="12" spans="2:11" s="116" customFormat="1" ht="21" customHeight="1">
      <c r="B12" s="107" t="s">
        <v>140</v>
      </c>
      <c r="C12" s="110"/>
      <c r="D12" s="316">
        <f>+[2]Flujo!D13</f>
        <v>-57286375</v>
      </c>
      <c r="E12" s="316">
        <f>+[7]Flujo!$E$13</f>
        <v>-59321208</v>
      </c>
      <c r="F12" s="115"/>
      <c r="G12" s="283">
        <f t="shared" si="0"/>
        <v>2034833</v>
      </c>
      <c r="H12" s="309">
        <f t="shared" si="1"/>
        <v>-3.4301948132951038E-2</v>
      </c>
      <c r="I12" s="112"/>
      <c r="K12" s="116">
        <v>-6069946</v>
      </c>
    </row>
    <row r="13" spans="2:11" s="116" customFormat="1" ht="21" customHeight="1">
      <c r="B13" s="107" t="s">
        <v>141</v>
      </c>
      <c r="C13" s="108"/>
      <c r="D13" s="316">
        <f>+[2]Flujo!D14</f>
        <v>0</v>
      </c>
      <c r="E13" s="316">
        <f>+[2]Flujo!E14</f>
        <v>0</v>
      </c>
      <c r="F13" s="115"/>
      <c r="G13" s="283">
        <f t="shared" si="0"/>
        <v>0</v>
      </c>
      <c r="H13" s="309">
        <f t="shared" si="1"/>
        <v>1</v>
      </c>
      <c r="I13" s="112"/>
      <c r="K13" s="116">
        <v>-1270627</v>
      </c>
    </row>
    <row r="14" spans="2:11" s="116" customFormat="1" ht="21" customHeight="1">
      <c r="B14" s="107" t="s">
        <v>142</v>
      </c>
      <c r="C14" s="108"/>
      <c r="D14" s="316">
        <f>+[2]Flujo!D15</f>
        <v>-45580507</v>
      </c>
      <c r="E14" s="316">
        <f>+[7]Flujo!$E$15</f>
        <v>-50729930</v>
      </c>
      <c r="F14" s="115"/>
      <c r="G14" s="283">
        <f t="shared" si="0"/>
        <v>5149423</v>
      </c>
      <c r="H14" s="309">
        <f t="shared" si="1"/>
        <v>-0.10150660566651679</v>
      </c>
      <c r="I14" s="112" t="s">
        <v>330</v>
      </c>
      <c r="K14" s="116">
        <v>-4683195</v>
      </c>
    </row>
    <row r="15" spans="2:11" s="116" customFormat="1" ht="21" customHeight="1">
      <c r="B15" s="109" t="s">
        <v>211</v>
      </c>
      <c r="C15" s="108"/>
      <c r="D15" s="317">
        <f>SUM(D10:D14)</f>
        <v>-319001344</v>
      </c>
      <c r="E15" s="317">
        <f>SUM(E10:E14)</f>
        <v>-315668288</v>
      </c>
      <c r="F15" s="115"/>
      <c r="G15" s="283">
        <f t="shared" si="0"/>
        <v>-3333056</v>
      </c>
      <c r="H15" s="311">
        <f t="shared" si="1"/>
        <v>1.055872929497435E-2</v>
      </c>
      <c r="I15" s="112"/>
      <c r="K15" s="116">
        <v>-31463887</v>
      </c>
    </row>
    <row r="16" spans="2:11" s="116" customFormat="1" ht="21" customHeight="1">
      <c r="B16" s="107" t="s">
        <v>143</v>
      </c>
      <c r="C16" s="108"/>
      <c r="D16" s="316">
        <f>+[2]Flujo!D17</f>
        <v>0</v>
      </c>
      <c r="E16" s="316">
        <f>+[2]Flujo!E17</f>
        <v>0</v>
      </c>
      <c r="F16" s="115"/>
      <c r="G16" s="283"/>
      <c r="H16" s="309">
        <f t="shared" si="1"/>
        <v>1</v>
      </c>
      <c r="I16" s="112"/>
    </row>
    <row r="17" spans="2:11" s="116" customFormat="1" ht="21" customHeight="1">
      <c r="B17" s="107" t="s">
        <v>144</v>
      </c>
      <c r="C17" s="108"/>
      <c r="D17" s="316">
        <f>+[2]Flujo!D18</f>
        <v>0</v>
      </c>
      <c r="E17" s="316">
        <f>+[2]Flujo!E18</f>
        <v>0</v>
      </c>
      <c r="F17" s="115"/>
      <c r="G17" s="283"/>
      <c r="H17" s="309">
        <f t="shared" si="1"/>
        <v>1</v>
      </c>
      <c r="I17" s="112"/>
    </row>
    <row r="18" spans="2:11" s="116" customFormat="1" ht="21" customHeight="1">
      <c r="B18" s="107" t="s">
        <v>145</v>
      </c>
      <c r="C18" s="108"/>
      <c r="D18" s="316">
        <f>+[2]Flujo!D19</f>
        <v>-29541220</v>
      </c>
      <c r="E18" s="316">
        <f>+[7]Flujo!$E$19</f>
        <v>-32414633</v>
      </c>
      <c r="F18" s="115"/>
      <c r="G18" s="283">
        <f t="shared" ref="G18:G55" si="2">ROUND(+(D18-E18),0)</f>
        <v>2873413</v>
      </c>
      <c r="H18" s="309">
        <f t="shared" si="1"/>
        <v>-8.8645550915230173E-2</v>
      </c>
      <c r="I18" s="112" t="s">
        <v>328</v>
      </c>
      <c r="K18" s="116">
        <v>-7546500</v>
      </c>
    </row>
    <row r="19" spans="2:11" s="116" customFormat="1" ht="21" customHeight="1">
      <c r="B19" s="107" t="s">
        <v>146</v>
      </c>
      <c r="C19" s="108"/>
      <c r="D19" s="316">
        <f>+[2]Flujo!D20</f>
        <v>4747284</v>
      </c>
      <c r="E19" s="316">
        <f>+[7]Flujo!$E$20</f>
        <v>13380268</v>
      </c>
      <c r="F19" s="115"/>
      <c r="G19" s="283">
        <f t="shared" si="2"/>
        <v>-8632984</v>
      </c>
      <c r="H19" s="309">
        <f t="shared" si="1"/>
        <v>-0.64520262224941982</v>
      </c>
      <c r="I19" s="112" t="s">
        <v>329</v>
      </c>
      <c r="K19" s="116">
        <v>5414211</v>
      </c>
    </row>
    <row r="20" spans="2:11" s="116" customFormat="1" ht="21" customHeight="1">
      <c r="B20" s="107" t="s">
        <v>221</v>
      </c>
      <c r="C20" s="108"/>
      <c r="D20" s="316">
        <f>+[2]Flujo!D21</f>
        <v>-22640129</v>
      </c>
      <c r="E20" s="316">
        <f>+[7]Flujo!$E$21</f>
        <v>-41995658</v>
      </c>
      <c r="F20" s="115"/>
      <c r="G20" s="283">
        <f t="shared" si="2"/>
        <v>19355529</v>
      </c>
      <c r="H20" s="309">
        <f t="shared" si="1"/>
        <v>-0.4608935761882812</v>
      </c>
      <c r="I20" s="112" t="s">
        <v>327</v>
      </c>
      <c r="K20" s="116">
        <v>-18083845</v>
      </c>
    </row>
    <row r="21" spans="2:11" s="116" customFormat="1" ht="21" customHeight="1">
      <c r="B21" s="107" t="s">
        <v>152</v>
      </c>
      <c r="C21" s="108"/>
      <c r="D21" s="316">
        <f>+[2]Flujo!D22</f>
        <v>-15344007</v>
      </c>
      <c r="E21" s="316">
        <f>+[7]Flujo!$E$22</f>
        <v>-18369799</v>
      </c>
      <c r="F21" s="115"/>
      <c r="G21" s="283">
        <f t="shared" si="2"/>
        <v>3025792</v>
      </c>
      <c r="H21" s="309">
        <f t="shared" si="1"/>
        <v>-0.16471557473220039</v>
      </c>
      <c r="I21" s="112" t="s">
        <v>335</v>
      </c>
      <c r="K21" s="116">
        <v>-9891191</v>
      </c>
    </row>
    <row r="22" spans="2:11" s="116" customFormat="1" ht="21" customHeight="1">
      <c r="B22" s="109" t="s">
        <v>296</v>
      </c>
      <c r="C22" s="108"/>
      <c r="D22" s="318">
        <f>SUM(D16:D21)</f>
        <v>-62778072</v>
      </c>
      <c r="E22" s="318">
        <f>SUM(E16:E21)</f>
        <v>-79399822</v>
      </c>
      <c r="F22" s="115"/>
      <c r="G22" s="470">
        <f t="shared" si="2"/>
        <v>16621750</v>
      </c>
      <c r="H22" s="311">
        <f t="shared" si="1"/>
        <v>-0.20934240885325914</v>
      </c>
      <c r="I22" s="112"/>
      <c r="K22" s="116">
        <v>-30107325</v>
      </c>
    </row>
    <row r="23" spans="2:11" s="116" customFormat="1" ht="21" customHeight="1" thickBot="1">
      <c r="B23" s="107" t="s">
        <v>295</v>
      </c>
      <c r="C23" s="108"/>
      <c r="D23" s="316"/>
      <c r="E23" s="316"/>
      <c r="F23" s="115"/>
      <c r="G23" s="283">
        <f t="shared" si="2"/>
        <v>0</v>
      </c>
      <c r="H23" s="309">
        <f t="shared" si="1"/>
        <v>1</v>
      </c>
      <c r="I23" s="112"/>
      <c r="K23" s="116">
        <v>0</v>
      </c>
    </row>
    <row r="24" spans="2:11" s="116" customFormat="1" ht="21" customHeight="1" thickBot="1">
      <c r="B24" s="118" t="s">
        <v>297</v>
      </c>
      <c r="C24" s="119"/>
      <c r="D24" s="319">
        <f>+D9+D15+D22+D23</f>
        <v>201724286</v>
      </c>
      <c r="E24" s="319">
        <f>+E9+E15+E22+E23</f>
        <v>171102117</v>
      </c>
      <c r="F24" s="115"/>
      <c r="G24" s="302">
        <f t="shared" si="2"/>
        <v>30622169</v>
      </c>
      <c r="H24" s="312">
        <f t="shared" si="1"/>
        <v>0.1789701351269663</v>
      </c>
      <c r="I24" s="112"/>
      <c r="K24" s="116">
        <v>1685284</v>
      </c>
    </row>
    <row r="25" spans="2:11" s="116" customFormat="1" ht="21" customHeight="1">
      <c r="B25" s="117" t="s">
        <v>147</v>
      </c>
      <c r="C25" s="114"/>
      <c r="D25" s="316">
        <f>+[2]Flujo!D26</f>
        <v>0</v>
      </c>
      <c r="E25" s="316">
        <f>+[2]Flujo!E26</f>
        <v>0</v>
      </c>
      <c r="F25" s="115"/>
      <c r="G25" s="283">
        <f t="shared" si="2"/>
        <v>0</v>
      </c>
      <c r="H25" s="309">
        <f t="shared" si="1"/>
        <v>1</v>
      </c>
      <c r="I25" s="112"/>
      <c r="K25" s="116">
        <v>0</v>
      </c>
    </row>
    <row r="26" spans="2:11" s="116" customFormat="1" ht="21" customHeight="1">
      <c r="B26" s="117" t="s">
        <v>278</v>
      </c>
      <c r="C26" s="114"/>
      <c r="D26" s="316">
        <f>+[2]Flujo!D33</f>
        <v>4056384</v>
      </c>
      <c r="E26" s="316">
        <f>+[7]Flujo!$E$33</f>
        <v>4998196</v>
      </c>
      <c r="F26" s="115"/>
      <c r="G26" s="283">
        <f t="shared" si="2"/>
        <v>-941812</v>
      </c>
      <c r="H26" s="309">
        <f t="shared" si="1"/>
        <v>-0.18843038568315448</v>
      </c>
      <c r="I26" s="112" t="s">
        <v>323</v>
      </c>
      <c r="K26" s="116">
        <v>4745573</v>
      </c>
    </row>
    <row r="27" spans="2:11" s="116" customFormat="1" ht="21" customHeight="1">
      <c r="B27" s="117" t="s">
        <v>148</v>
      </c>
      <c r="C27" s="114"/>
      <c r="D27" s="316">
        <f>+[2]Flujo!D34</f>
        <v>-142673331</v>
      </c>
      <c r="E27" s="316">
        <f>+[7]Flujo!$E$34</f>
        <v>-102470131</v>
      </c>
      <c r="F27" s="115"/>
      <c r="G27" s="283">
        <f t="shared" si="2"/>
        <v>-40203200</v>
      </c>
      <c r="H27" s="309">
        <f t="shared" si="1"/>
        <v>0.39234067144893181</v>
      </c>
      <c r="I27" s="112" t="s">
        <v>324</v>
      </c>
      <c r="K27" s="116">
        <v>3407345</v>
      </c>
    </row>
    <row r="28" spans="2:11" s="116" customFormat="1" ht="21" customHeight="1">
      <c r="B28" s="117" t="s">
        <v>222</v>
      </c>
      <c r="C28" s="114"/>
      <c r="D28" s="316">
        <f>+[2]Flujo!D35</f>
        <v>0</v>
      </c>
      <c r="E28" s="316">
        <f>+[2]Flujo!E35</f>
        <v>0</v>
      </c>
      <c r="F28" s="115"/>
      <c r="G28" s="283">
        <f t="shared" si="2"/>
        <v>0</v>
      </c>
      <c r="H28" s="309">
        <f t="shared" si="1"/>
        <v>1</v>
      </c>
      <c r="I28" s="112"/>
      <c r="K28" s="116">
        <v>0</v>
      </c>
    </row>
    <row r="29" spans="2:11" s="116" customFormat="1" ht="21" customHeight="1">
      <c r="B29" s="117" t="s">
        <v>149</v>
      </c>
      <c r="C29" s="114"/>
      <c r="D29" s="316">
        <f>+[2]Flujo!D36</f>
        <v>-2856262</v>
      </c>
      <c r="E29" s="316">
        <f>+[7]Flujo!$E$36</f>
        <v>-3091788</v>
      </c>
      <c r="F29" s="115"/>
      <c r="G29" s="283">
        <f t="shared" si="2"/>
        <v>235526</v>
      </c>
      <c r="H29" s="309">
        <f t="shared" si="1"/>
        <v>-7.6177926817750763E-2</v>
      </c>
      <c r="I29" s="112" t="s">
        <v>325</v>
      </c>
      <c r="K29" s="116">
        <v>4841522</v>
      </c>
    </row>
    <row r="30" spans="2:11" s="116" customFormat="1" ht="21" customHeight="1" thickBot="1">
      <c r="B30" s="117" t="s">
        <v>152</v>
      </c>
      <c r="C30" s="114"/>
      <c r="D30" s="316">
        <f>+[2]Flujo!D37</f>
        <v>0</v>
      </c>
      <c r="E30" s="316">
        <f>+[7]Flujo!$E$48</f>
        <v>126214</v>
      </c>
      <c r="F30" s="316">
        <f>+[11]Flujo!F37</f>
        <v>0</v>
      </c>
      <c r="G30" s="283">
        <f t="shared" si="2"/>
        <v>-126214</v>
      </c>
      <c r="H30" s="309">
        <f t="shared" si="1"/>
        <v>-1</v>
      </c>
      <c r="I30" s="112"/>
      <c r="K30" s="116">
        <v>-13977</v>
      </c>
    </row>
    <row r="31" spans="2:11" s="116" customFormat="1" ht="21" customHeight="1" thickBot="1">
      <c r="B31" s="118" t="s">
        <v>212</v>
      </c>
      <c r="C31" s="119"/>
      <c r="D31" s="319">
        <f>SUM(D25:D30)</f>
        <v>-141473209</v>
      </c>
      <c r="E31" s="319">
        <f>SUM(E25:E30)</f>
        <v>-100437509</v>
      </c>
      <c r="F31" s="316">
        <f>+[11]Flujo!F38</f>
        <v>0</v>
      </c>
      <c r="G31" s="302">
        <f t="shared" si="2"/>
        <v>-41035700</v>
      </c>
      <c r="H31" s="312">
        <f t="shared" si="1"/>
        <v>0.40856947178966774</v>
      </c>
      <c r="I31" s="381"/>
      <c r="K31" s="116">
        <v>38156234</v>
      </c>
    </row>
    <row r="32" spans="2:11" s="116" customFormat="1" ht="21" customHeight="1">
      <c r="B32" s="117" t="s">
        <v>153</v>
      </c>
      <c r="C32" s="114"/>
      <c r="D32" s="316">
        <f>+[2]Flujo!D39</f>
        <v>0</v>
      </c>
      <c r="E32" s="316">
        <f>+[2]Flujo!E50</f>
        <v>0</v>
      </c>
      <c r="F32" s="316">
        <f>+[11]Flujo!F39</f>
        <v>0</v>
      </c>
      <c r="G32" s="283">
        <f t="shared" si="2"/>
        <v>0</v>
      </c>
      <c r="H32" s="309">
        <f t="shared" si="1"/>
        <v>1</v>
      </c>
      <c r="I32" s="112"/>
      <c r="K32" s="116">
        <v>0</v>
      </c>
    </row>
    <row r="33" spans="2:11" s="116" customFormat="1" ht="21" customHeight="1">
      <c r="B33" s="117" t="s">
        <v>154</v>
      </c>
      <c r="C33" s="114"/>
      <c r="D33" s="316">
        <f>+[2]Flujo!D40</f>
        <v>0</v>
      </c>
      <c r="E33" s="316">
        <f>+[2]Flujo!E51</f>
        <v>0</v>
      </c>
      <c r="F33" s="316">
        <f>+[11]Flujo!F40</f>
        <v>0</v>
      </c>
      <c r="G33" s="283">
        <f t="shared" si="2"/>
        <v>0</v>
      </c>
      <c r="H33" s="309">
        <f t="shared" si="1"/>
        <v>1</v>
      </c>
      <c r="I33" s="112"/>
      <c r="K33" s="116">
        <v>0</v>
      </c>
    </row>
    <row r="34" spans="2:11" s="116" customFormat="1" ht="21" customHeight="1">
      <c r="B34" s="117" t="s">
        <v>155</v>
      </c>
      <c r="C34" s="114"/>
      <c r="D34" s="316">
        <f>+[2]Flujo!D41</f>
        <v>0</v>
      </c>
      <c r="E34" s="316">
        <f>+[2]Flujo!E52</f>
        <v>0</v>
      </c>
      <c r="F34" s="316">
        <f>+[11]Flujo!F41</f>
        <v>0</v>
      </c>
      <c r="G34" s="283">
        <f t="shared" si="2"/>
        <v>0</v>
      </c>
      <c r="H34" s="309">
        <f t="shared" si="1"/>
        <v>1</v>
      </c>
      <c r="I34" s="112"/>
      <c r="K34" s="116">
        <v>0</v>
      </c>
    </row>
    <row r="35" spans="2:11" s="116" customFormat="1" ht="21" customHeight="1">
      <c r="B35" s="117" t="s">
        <v>156</v>
      </c>
      <c r="C35" s="114"/>
      <c r="D35" s="316">
        <f>+[2]Flujo!D42</f>
        <v>0</v>
      </c>
      <c r="E35" s="316">
        <f>+[2]Flujo!E53</f>
        <v>0</v>
      </c>
      <c r="F35" s="316">
        <f>+[11]Flujo!F53</f>
        <v>0</v>
      </c>
      <c r="G35" s="283">
        <f t="shared" si="2"/>
        <v>0</v>
      </c>
      <c r="H35" s="309">
        <f t="shared" si="1"/>
        <v>1</v>
      </c>
      <c r="I35" s="112"/>
      <c r="K35" s="116">
        <v>0</v>
      </c>
    </row>
    <row r="36" spans="2:11" s="116" customFormat="1" ht="21" customHeight="1">
      <c r="B36" s="117" t="s">
        <v>157</v>
      </c>
      <c r="C36" s="114"/>
      <c r="D36" s="316">
        <f>+[2]Flujo!D54</f>
        <v>141124217</v>
      </c>
      <c r="E36" s="316">
        <f>+[7]Flujo!$E$54</f>
        <v>8554804</v>
      </c>
      <c r="F36" s="115"/>
      <c r="G36" s="283">
        <f t="shared" si="2"/>
        <v>132569413</v>
      </c>
      <c r="H36" s="309">
        <f t="shared" si="1"/>
        <v>15.496487470665604</v>
      </c>
      <c r="I36" s="112" t="s">
        <v>336</v>
      </c>
      <c r="K36" s="116">
        <v>-2600633</v>
      </c>
    </row>
    <row r="37" spans="2:11" s="116" customFormat="1" ht="21" customHeight="1">
      <c r="B37" s="117" t="s">
        <v>158</v>
      </c>
      <c r="C37" s="114"/>
      <c r="D37" s="316">
        <f>+[2]Flujo!D55</f>
        <v>0</v>
      </c>
      <c r="E37" s="316">
        <f>+[2]Flujo!E55</f>
        <v>0</v>
      </c>
      <c r="F37" s="115"/>
      <c r="G37" s="283">
        <f t="shared" si="2"/>
        <v>0</v>
      </c>
      <c r="H37" s="309">
        <f t="shared" si="1"/>
        <v>1</v>
      </c>
      <c r="I37" s="112"/>
      <c r="K37" s="116">
        <v>0</v>
      </c>
    </row>
    <row r="38" spans="2:11" s="116" customFormat="1" ht="21" customHeight="1">
      <c r="B38" s="276" t="s">
        <v>298</v>
      </c>
      <c r="C38" s="114"/>
      <c r="D38" s="317">
        <f>+D36+D37</f>
        <v>141124217</v>
      </c>
      <c r="E38" s="317">
        <f>+E36+E37</f>
        <v>8554804</v>
      </c>
      <c r="F38" s="115"/>
      <c r="G38" s="284">
        <f t="shared" si="2"/>
        <v>132569413</v>
      </c>
      <c r="H38" s="313">
        <f t="shared" si="1"/>
        <v>15.496487470665604</v>
      </c>
      <c r="I38" s="112"/>
      <c r="K38" s="116">
        <v>-2600633</v>
      </c>
    </row>
    <row r="39" spans="2:11" s="116" customFormat="1" ht="21" customHeight="1">
      <c r="B39" s="117" t="s">
        <v>159</v>
      </c>
      <c r="C39" s="114"/>
      <c r="D39" s="316">
        <f>+[2]Flujo!D57</f>
        <v>0</v>
      </c>
      <c r="E39" s="316">
        <f>+[2]Flujo!E57</f>
        <v>0</v>
      </c>
      <c r="F39" s="115"/>
      <c r="G39" s="283">
        <f t="shared" si="2"/>
        <v>0</v>
      </c>
      <c r="H39" s="309">
        <f t="shared" ref="H39:H55" si="3">+IFERROR(G39/E39,1)</f>
        <v>1</v>
      </c>
      <c r="I39" s="112"/>
      <c r="K39" s="116">
        <v>0</v>
      </c>
    </row>
    <row r="40" spans="2:11" s="116" customFormat="1" ht="21" customHeight="1">
      <c r="B40" s="117" t="s">
        <v>213</v>
      </c>
      <c r="C40" s="114"/>
      <c r="D40" s="316">
        <f>+[2]Flujo!D58</f>
        <v>-145472405</v>
      </c>
      <c r="E40" s="316">
        <f>+[7]Flujo!$E$58</f>
        <v>-61747892</v>
      </c>
      <c r="F40" s="115"/>
      <c r="G40" s="283">
        <f t="shared" si="2"/>
        <v>-83724513</v>
      </c>
      <c r="H40" s="310">
        <f t="shared" si="3"/>
        <v>1.3559088462485489</v>
      </c>
      <c r="I40" s="112"/>
      <c r="K40" s="116">
        <v>-523715</v>
      </c>
    </row>
    <row r="41" spans="2:11" s="116" customFormat="1" ht="21" customHeight="1">
      <c r="B41" s="117" t="s">
        <v>160</v>
      </c>
      <c r="C41" s="114"/>
      <c r="D41" s="316">
        <f>+[2]Flujo!D59</f>
        <v>0</v>
      </c>
      <c r="E41" s="316">
        <f>+[2]Flujo!E59</f>
        <v>0</v>
      </c>
      <c r="F41" s="115"/>
      <c r="G41" s="283">
        <f t="shared" si="2"/>
        <v>0</v>
      </c>
      <c r="H41" s="310">
        <f t="shared" si="3"/>
        <v>1</v>
      </c>
      <c r="I41" s="112"/>
      <c r="K41" s="116">
        <v>0</v>
      </c>
    </row>
    <row r="42" spans="2:11" s="116" customFormat="1" ht="21" customHeight="1">
      <c r="B42" s="117" t="s">
        <v>161</v>
      </c>
      <c r="C42" s="114"/>
      <c r="D42" s="316">
        <f>+[2]Flujo!D60</f>
        <v>0</v>
      </c>
      <c r="E42" s="316">
        <f>+[2]Flujo!E60</f>
        <v>0</v>
      </c>
      <c r="F42" s="115"/>
      <c r="G42" s="283">
        <f t="shared" si="2"/>
        <v>0</v>
      </c>
      <c r="H42" s="310">
        <f t="shared" si="3"/>
        <v>1</v>
      </c>
      <c r="I42" s="112"/>
      <c r="K42" s="116">
        <v>0</v>
      </c>
    </row>
    <row r="43" spans="2:11" s="116" customFormat="1" ht="21" customHeight="1">
      <c r="B43" s="117" t="s">
        <v>150</v>
      </c>
      <c r="C43" s="114"/>
      <c r="D43" s="316">
        <f>+[2]Flujo!D61</f>
        <v>0</v>
      </c>
      <c r="E43" s="316">
        <f>+[2]Flujo!E61</f>
        <v>0</v>
      </c>
      <c r="F43" s="115"/>
      <c r="G43" s="283">
        <f t="shared" si="2"/>
        <v>0</v>
      </c>
      <c r="H43" s="310">
        <f t="shared" si="3"/>
        <v>1</v>
      </c>
      <c r="I43" s="112"/>
      <c r="K43" s="116">
        <v>0</v>
      </c>
    </row>
    <row r="44" spans="2:11" s="116" customFormat="1" ht="21" customHeight="1">
      <c r="B44" s="280" t="s">
        <v>143</v>
      </c>
      <c r="C44" s="114"/>
      <c r="D44" s="316">
        <f>+[2]Flujo!D62</f>
        <v>-88602504</v>
      </c>
      <c r="E44" s="316">
        <f>+[7]Flujo!$E$62</f>
        <v>-50250423</v>
      </c>
      <c r="F44" s="115"/>
      <c r="G44" s="283">
        <f t="shared" si="2"/>
        <v>-38352081</v>
      </c>
      <c r="H44" s="310">
        <f t="shared" si="3"/>
        <v>0.76321906782754845</v>
      </c>
      <c r="I44" s="112" t="s">
        <v>326</v>
      </c>
      <c r="K44" s="116">
        <v>-33963140</v>
      </c>
    </row>
    <row r="45" spans="2:11" s="116" customFormat="1" ht="21" customHeight="1">
      <c r="B45" s="117" t="s">
        <v>145</v>
      </c>
      <c r="C45" s="114"/>
      <c r="D45" s="316">
        <f>+[2]Flujo!D63</f>
        <v>0</v>
      </c>
      <c r="E45" s="316">
        <f>+[2]Flujo!E63</f>
        <v>0</v>
      </c>
      <c r="F45" s="115"/>
      <c r="G45" s="283">
        <f t="shared" si="2"/>
        <v>0</v>
      </c>
      <c r="H45" s="309">
        <f t="shared" si="3"/>
        <v>1</v>
      </c>
      <c r="I45" s="112"/>
      <c r="K45" s="116">
        <v>2485</v>
      </c>
    </row>
    <row r="46" spans="2:11" s="116" customFormat="1" ht="21" customHeight="1">
      <c r="B46" s="117" t="s">
        <v>151</v>
      </c>
      <c r="C46" s="114"/>
      <c r="D46" s="316">
        <f>+[2]Flujo!D64</f>
        <v>0</v>
      </c>
      <c r="E46" s="316">
        <f>+[2]Flujo!E64</f>
        <v>0</v>
      </c>
      <c r="F46" s="115"/>
      <c r="G46" s="283">
        <f t="shared" si="2"/>
        <v>0</v>
      </c>
      <c r="H46" s="309">
        <f t="shared" si="3"/>
        <v>1</v>
      </c>
      <c r="I46" s="112"/>
      <c r="K46" s="116">
        <v>0</v>
      </c>
    </row>
    <row r="47" spans="2:11" s="116" customFormat="1" ht="21" customHeight="1">
      <c r="B47" s="117" t="s">
        <v>152</v>
      </c>
      <c r="C47" s="114"/>
      <c r="D47" s="316">
        <f>+[2]Flujo!D65</f>
        <v>-1598321</v>
      </c>
      <c r="E47" s="316">
        <f>+[2]Flujo!E65</f>
        <v>0</v>
      </c>
      <c r="F47" s="115"/>
      <c r="G47" s="283">
        <f t="shared" si="2"/>
        <v>-1598321</v>
      </c>
      <c r="H47" s="309">
        <f t="shared" si="3"/>
        <v>1</v>
      </c>
      <c r="I47" s="112"/>
      <c r="K47" s="116">
        <v>0</v>
      </c>
    </row>
    <row r="48" spans="2:11" s="116" customFormat="1" ht="21" customHeight="1" thickBot="1">
      <c r="B48" s="117" t="s">
        <v>301</v>
      </c>
      <c r="C48" s="114"/>
      <c r="D48" s="316"/>
      <c r="E48" s="316"/>
      <c r="F48" s="115"/>
      <c r="G48" s="283">
        <f t="shared" si="2"/>
        <v>0</v>
      </c>
      <c r="H48" s="309">
        <f t="shared" si="3"/>
        <v>1</v>
      </c>
      <c r="I48" s="112"/>
      <c r="K48" s="116">
        <v>0</v>
      </c>
    </row>
    <row r="49" spans="2:11" s="116" customFormat="1" ht="21" customHeight="1" thickBot="1">
      <c r="B49" s="118" t="s">
        <v>299</v>
      </c>
      <c r="C49" s="120"/>
      <c r="D49" s="319">
        <f>+D38+D40+D44+D47+D48+D41</f>
        <v>-94549013</v>
      </c>
      <c r="E49" s="319">
        <f>+E38+E40+E44+E47+E48+E41</f>
        <v>-103443511</v>
      </c>
      <c r="F49" s="115"/>
      <c r="G49" s="302">
        <f t="shared" si="2"/>
        <v>8894498</v>
      </c>
      <c r="H49" s="312">
        <f t="shared" si="3"/>
        <v>-8.5984107789999514E-2</v>
      </c>
      <c r="I49" s="112"/>
      <c r="K49" s="116">
        <v>-37085003</v>
      </c>
    </row>
    <row r="50" spans="2:11" s="116" customFormat="1" ht="21" customHeight="1">
      <c r="B50" s="118" t="s">
        <v>300</v>
      </c>
      <c r="C50" s="120"/>
      <c r="D50" s="319">
        <f>+D24+D49+D31</f>
        <v>-34297936</v>
      </c>
      <c r="E50" s="319">
        <f>+E24+E49+E31</f>
        <v>-32778903</v>
      </c>
      <c r="F50" s="115"/>
      <c r="G50" s="283">
        <f t="shared" si="2"/>
        <v>-1519033</v>
      </c>
      <c r="H50" s="309">
        <f t="shared" si="3"/>
        <v>4.6341788802389143E-2</v>
      </c>
      <c r="I50" s="112"/>
      <c r="K50" s="116">
        <v>2756515</v>
      </c>
    </row>
    <row r="51" spans="2:11" s="116" customFormat="1" ht="21" customHeight="1">
      <c r="B51" s="121" t="s">
        <v>162</v>
      </c>
      <c r="C51" s="119"/>
      <c r="D51" s="320"/>
      <c r="E51" s="320"/>
      <c r="F51" s="115"/>
      <c r="G51" s="283">
        <f t="shared" si="2"/>
        <v>0</v>
      </c>
      <c r="H51" s="309">
        <f t="shared" si="3"/>
        <v>1</v>
      </c>
      <c r="I51" s="112"/>
      <c r="K51" s="116">
        <v>0</v>
      </c>
    </row>
    <row r="52" spans="2:11" s="116" customFormat="1" ht="21" customHeight="1" thickBot="1">
      <c r="B52" s="122" t="s">
        <v>162</v>
      </c>
      <c r="C52" s="119"/>
      <c r="D52" s="320"/>
      <c r="E52" s="320"/>
      <c r="F52" s="115"/>
      <c r="G52" s="283">
        <f t="shared" si="2"/>
        <v>0</v>
      </c>
      <c r="H52" s="309">
        <f t="shared" si="3"/>
        <v>1</v>
      </c>
      <c r="I52" s="112"/>
      <c r="K52" s="116">
        <v>0</v>
      </c>
    </row>
    <row r="53" spans="2:11" s="116" customFormat="1" ht="21" customHeight="1" thickBot="1">
      <c r="B53" s="118" t="s">
        <v>214</v>
      </c>
      <c r="C53" s="120"/>
      <c r="D53" s="319">
        <f>+D49+D31+D24</f>
        <v>-34297936</v>
      </c>
      <c r="E53" s="319">
        <f>+E49+E31+E24</f>
        <v>-32778903</v>
      </c>
      <c r="F53" s="115"/>
      <c r="G53" s="302">
        <f t="shared" si="2"/>
        <v>-1519033</v>
      </c>
      <c r="H53" s="312">
        <f t="shared" si="3"/>
        <v>4.6341788802389143E-2</v>
      </c>
      <c r="I53" s="112"/>
      <c r="K53" s="116">
        <v>2756515</v>
      </c>
    </row>
    <row r="54" spans="2:11" s="116" customFormat="1" ht="21" customHeight="1" thickBot="1">
      <c r="B54" s="117" t="s">
        <v>215</v>
      </c>
      <c r="C54" s="114"/>
      <c r="D54" s="316">
        <f>+[2]Flujo!D72</f>
        <v>110795410</v>
      </c>
      <c r="E54" s="316">
        <f>+[2]Flujo!E72</f>
        <v>180545867</v>
      </c>
      <c r="F54" s="123"/>
      <c r="G54" s="283">
        <f t="shared" si="2"/>
        <v>-69750457</v>
      </c>
      <c r="H54" s="309">
        <f t="shared" si="3"/>
        <v>-0.38633095378472443</v>
      </c>
      <c r="I54" s="112"/>
      <c r="K54" s="116">
        <v>15986987</v>
      </c>
    </row>
    <row r="55" spans="2:11" s="116" customFormat="1" ht="21" customHeight="1" thickBot="1">
      <c r="B55" s="124" t="s">
        <v>216</v>
      </c>
      <c r="C55" s="125">
        <v>7</v>
      </c>
      <c r="D55" s="321">
        <f>SUM(D51:D54)</f>
        <v>76497474</v>
      </c>
      <c r="E55" s="321">
        <f>SUM(E51:E54)</f>
        <v>147766964</v>
      </c>
      <c r="G55" s="302">
        <f t="shared" si="2"/>
        <v>-71269490</v>
      </c>
      <c r="H55" s="312">
        <f t="shared" si="3"/>
        <v>-0.48231003785122095</v>
      </c>
      <c r="I55" s="112"/>
      <c r="K55" s="116">
        <v>18743502</v>
      </c>
    </row>
    <row r="56" spans="2:11">
      <c r="D56" s="296"/>
      <c r="E56" s="296"/>
    </row>
    <row r="57" spans="2:11">
      <c r="D57" s="322">
        <f>+D55-Balance!D6</f>
        <v>0</v>
      </c>
      <c r="E57" s="322">
        <f>+E55-Balance!E6</f>
        <v>36971554</v>
      </c>
    </row>
    <row r="61" spans="2:11">
      <c r="B61" t="s">
        <v>340</v>
      </c>
      <c r="D61" s="128">
        <v>167186100</v>
      </c>
      <c r="E61" s="128"/>
      <c r="G61" s="296">
        <f>+G36+G40</f>
        <v>48844900</v>
      </c>
    </row>
    <row r="62" spans="2:11">
      <c r="D62" s="128">
        <f>+D55-D61</f>
        <v>-90688626</v>
      </c>
      <c r="E62" s="128"/>
      <c r="G62" s="296">
        <f>+[12]Flujo!$G$53+[12]Flujo!$G$57</f>
        <v>48844900</v>
      </c>
    </row>
    <row r="63" spans="2:11">
      <c r="G63" s="296">
        <f>+G62-G61</f>
        <v>0</v>
      </c>
    </row>
  </sheetData>
  <mergeCells count="3">
    <mergeCell ref="B2:B3"/>
    <mergeCell ref="C2:C3"/>
    <mergeCell ref="G2:H2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000"/>
  </sheetPr>
  <dimension ref="B2:I26"/>
  <sheetViews>
    <sheetView showGridLines="0" workbookViewId="0">
      <selection activeCell="H18" sqref="H18"/>
    </sheetView>
  </sheetViews>
  <sheetFormatPr baseColWidth="10" defaultColWidth="11.42578125" defaultRowHeight="12"/>
  <cols>
    <col min="1" max="1" width="11.42578125" style="140"/>
    <col min="2" max="2" width="45.5703125" style="140" bestFit="1" customWidth="1"/>
    <col min="3" max="3" width="14.28515625" style="357" bestFit="1" customWidth="1"/>
    <col min="4" max="4" width="14.28515625" style="140" bestFit="1" customWidth="1"/>
    <col min="5" max="5" width="13.42578125" style="140" bestFit="1" customWidth="1"/>
    <col min="6" max="6" width="13.85546875" style="140" bestFit="1" customWidth="1"/>
    <col min="7" max="16384" width="11.42578125" style="140"/>
  </cols>
  <sheetData>
    <row r="2" spans="2:9">
      <c r="B2" s="139" t="s">
        <v>103</v>
      </c>
      <c r="C2" s="354" t="s">
        <v>8</v>
      </c>
      <c r="F2" s="355"/>
      <c r="G2" s="356"/>
      <c r="H2" s="356"/>
      <c r="I2" s="355"/>
    </row>
    <row r="3" spans="2:9">
      <c r="B3" s="140" t="s">
        <v>398</v>
      </c>
      <c r="C3" s="473">
        <f>+cálculos!E71</f>
        <v>65277259</v>
      </c>
      <c r="F3" s="355"/>
      <c r="G3" s="355"/>
      <c r="H3" s="355"/>
      <c r="I3" s="355"/>
    </row>
    <row r="4" spans="2:9">
      <c r="B4" s="140" t="s">
        <v>435</v>
      </c>
      <c r="C4" s="473">
        <f>-cálculos!D71</f>
        <v>-47001310</v>
      </c>
    </row>
    <row r="5" spans="2:9">
      <c r="B5" s="165" t="s">
        <v>436</v>
      </c>
      <c r="C5" s="474">
        <f>+cálculos!C71</f>
        <v>44329454</v>
      </c>
      <c r="G5" s="333"/>
      <c r="H5" s="333"/>
      <c r="I5" s="334"/>
    </row>
    <row r="6" spans="2:9">
      <c r="B6" s="139" t="s">
        <v>437</v>
      </c>
      <c r="C6" s="475">
        <f>SUM(C3:C5)</f>
        <v>62605403</v>
      </c>
      <c r="G6" s="333"/>
      <c r="H6" s="333"/>
    </row>
    <row r="7" spans="2:9">
      <c r="C7" s="473"/>
    </row>
    <row r="8" spans="2:9">
      <c r="B8" s="358" t="s">
        <v>104</v>
      </c>
      <c r="C8" s="473"/>
    </row>
    <row r="9" spans="2:9">
      <c r="B9" s="139" t="s">
        <v>21</v>
      </c>
      <c r="C9" s="476" t="s">
        <v>8</v>
      </c>
    </row>
    <row r="10" spans="2:9">
      <c r="B10" s="140" t="str">
        <f>+B3</f>
        <v>Ejercicio 2023</v>
      </c>
      <c r="C10" s="473">
        <f>+cálculos!F20-cálculos!F21</f>
        <v>214577970</v>
      </c>
    </row>
    <row r="11" spans="2:9">
      <c r="B11" s="140" t="str">
        <f>+B4</f>
        <v>Acum Sept 2023</v>
      </c>
      <c r="C11" s="473">
        <f>-(+cálculos!E20-cálculos!E21)</f>
        <v>-156960880</v>
      </c>
      <c r="H11" s="333"/>
    </row>
    <row r="12" spans="2:9">
      <c r="B12" s="165" t="str">
        <f>+B5</f>
        <v>Acum Sept 2024</v>
      </c>
      <c r="C12" s="474">
        <f>+cálculos!D20-cálculos!D21</f>
        <v>151514792</v>
      </c>
    </row>
    <row r="13" spans="2:9">
      <c r="B13" s="139" t="str">
        <f>+B6</f>
        <v>Periodo Sept 2024 - Sept 2023</v>
      </c>
      <c r="C13" s="475">
        <f>SUM(C10:C12)</f>
        <v>209131882</v>
      </c>
    </row>
    <row r="14" spans="2:9">
      <c r="C14" s="473"/>
    </row>
    <row r="15" spans="2:9">
      <c r="C15" s="473"/>
    </row>
    <row r="16" spans="2:9">
      <c r="B16" s="139" t="s">
        <v>23</v>
      </c>
      <c r="C16" s="476" t="s">
        <v>8</v>
      </c>
    </row>
    <row r="17" spans="2:5">
      <c r="B17" s="140" t="str">
        <f>+B3</f>
        <v>Ejercicio 2023</v>
      </c>
      <c r="C17" s="473">
        <f>-cálculos!F21</f>
        <v>48853914</v>
      </c>
    </row>
    <row r="18" spans="2:5">
      <c r="B18" s="140" t="str">
        <f>+B4</f>
        <v>Acum Sept 2023</v>
      </c>
      <c r="C18" s="473">
        <f>+cálculos!E21</f>
        <v>-36684053</v>
      </c>
    </row>
    <row r="19" spans="2:5">
      <c r="B19" s="165" t="str">
        <f>+B5</f>
        <v>Acum Sept 2024</v>
      </c>
      <c r="C19" s="474">
        <f>-cálculos!D21</f>
        <v>37240845</v>
      </c>
    </row>
    <row r="20" spans="2:5">
      <c r="B20" s="139" t="str">
        <f>+B13</f>
        <v>Periodo Sept 2024 - Sept 2023</v>
      </c>
      <c r="C20" s="475">
        <f>SUM(C17:C19)</f>
        <v>49410706</v>
      </c>
    </row>
    <row r="24" spans="2:5">
      <c r="C24" s="359"/>
      <c r="D24" s="360"/>
      <c r="E24" s="361"/>
    </row>
    <row r="25" spans="2:5">
      <c r="C25" s="362"/>
      <c r="D25" s="362"/>
      <c r="E25" s="362"/>
    </row>
    <row r="26" spans="2:5">
      <c r="C26" s="362"/>
      <c r="D26" s="362"/>
      <c r="E26" s="362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ECB1-97A5-4F67-9F86-66C5C1BDEA35}">
  <sheetPr>
    <tabColor rgb="FFFFC000"/>
  </sheetPr>
  <dimension ref="B16:F16"/>
  <sheetViews>
    <sheetView topLeftCell="A7" workbookViewId="0">
      <selection activeCell="G18" sqref="G18"/>
    </sheetView>
  </sheetViews>
  <sheetFormatPr baseColWidth="10" defaultColWidth="11.5703125" defaultRowHeight="15.75"/>
  <cols>
    <col min="1" max="1" width="10.85546875" style="374" customWidth="1"/>
    <col min="2" max="5" width="23.140625" style="375" customWidth="1"/>
    <col min="6" max="6" width="23.140625" style="376" customWidth="1"/>
    <col min="7" max="16384" width="11.5703125" style="374"/>
  </cols>
  <sheetData>
    <row r="16" spans="4:4">
      <c r="D16" s="46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DE50-7AEC-4BB9-BE5C-998FE42882D8}">
  <dimension ref="B1:D46"/>
  <sheetViews>
    <sheetView topLeftCell="A12" workbookViewId="0">
      <selection activeCell="F26" sqref="F26"/>
    </sheetView>
  </sheetViews>
  <sheetFormatPr baseColWidth="10" defaultRowHeight="12.75"/>
  <cols>
    <col min="2" max="2" width="65" bestFit="1" customWidth="1"/>
    <col min="3" max="4" width="10.85546875" bestFit="1" customWidth="1"/>
  </cols>
  <sheetData>
    <row r="1" spans="2:4" ht="13.5" thickBot="1"/>
    <row r="2" spans="2:4" ht="13.5" thickBot="1">
      <c r="B2" s="433" t="s">
        <v>363</v>
      </c>
      <c r="C2" s="434">
        <v>2023</v>
      </c>
      <c r="D2" s="434">
        <v>2022</v>
      </c>
    </row>
    <row r="3" spans="2:4" ht="15.75" thickTop="1">
      <c r="B3" s="435"/>
      <c r="C3" s="435"/>
      <c r="D3" s="435"/>
    </row>
    <row r="4" spans="2:4" ht="15">
      <c r="B4" s="436" t="s">
        <v>105</v>
      </c>
      <c r="C4" s="435"/>
      <c r="D4" s="435"/>
    </row>
    <row r="5" spans="2:4">
      <c r="B5" s="437" t="s">
        <v>364</v>
      </c>
      <c r="C5" s="438">
        <f>+cálculos!D6</f>
        <v>226136846</v>
      </c>
      <c r="D5" s="438">
        <f>+cálculos!E6</f>
        <v>276781050</v>
      </c>
    </row>
    <row r="6" spans="2:4" ht="13.5" thickBot="1">
      <c r="B6" s="437" t="s">
        <v>365</v>
      </c>
      <c r="C6" s="438">
        <f>+cálculos!D7</f>
        <v>2792427807</v>
      </c>
      <c r="D6" s="438">
        <f>+cálculos!E7</f>
        <v>2419695021</v>
      </c>
    </row>
    <row r="7" spans="2:4" ht="13.5" thickBot="1">
      <c r="B7" s="439" t="s">
        <v>366</v>
      </c>
      <c r="C7" s="440">
        <v>2696476071</v>
      </c>
      <c r="D7" s="441">
        <v>2651930195</v>
      </c>
    </row>
    <row r="8" spans="2:4">
      <c r="B8" s="442"/>
      <c r="C8" s="443">
        <v>272580635</v>
      </c>
      <c r="D8" s="443">
        <v>272600635</v>
      </c>
    </row>
    <row r="9" spans="2:4" ht="15">
      <c r="B9" s="436" t="s">
        <v>367</v>
      </c>
      <c r="C9" s="435"/>
      <c r="D9" s="435"/>
    </row>
    <row r="10" spans="2:4">
      <c r="B10" s="437" t="s">
        <v>368</v>
      </c>
      <c r="C10" s="438">
        <f>+cálculos!D10</f>
        <v>250699212</v>
      </c>
      <c r="D10" s="438">
        <f>+cálculos!E10</f>
        <v>362634346</v>
      </c>
    </row>
    <row r="11" spans="2:4">
      <c r="B11" s="437" t="s">
        <v>369</v>
      </c>
      <c r="C11" s="438">
        <f>+cálculos!D11</f>
        <v>1325260233</v>
      </c>
      <c r="D11" s="438">
        <f>+cálculos!E11</f>
        <v>1175813467</v>
      </c>
    </row>
    <row r="12" spans="2:4">
      <c r="B12" s="437" t="s">
        <v>370</v>
      </c>
      <c r="C12" s="438">
        <f>+cálculos!E13</f>
        <v>715849689.1056807</v>
      </c>
      <c r="D12" s="438">
        <f>+cálculos!F13</f>
        <v>691794448</v>
      </c>
    </row>
    <row r="13" spans="2:4" ht="13.5" thickBot="1">
      <c r="B13" s="437" t="s">
        <v>371</v>
      </c>
      <c r="C13" s="438">
        <f>+cálculos!D12</f>
        <v>584160472.85245204</v>
      </c>
      <c r="D13" s="438">
        <f>+cálculos!E12</f>
        <v>442178569</v>
      </c>
    </row>
    <row r="14" spans="2:4" ht="13.5" thickBot="1">
      <c r="B14" s="439" t="s">
        <v>372</v>
      </c>
      <c r="C14" s="440">
        <v>2696476071</v>
      </c>
      <c r="D14" s="441">
        <v>2651930195</v>
      </c>
    </row>
    <row r="15" spans="2:4" ht="15">
      <c r="B15" s="435"/>
      <c r="C15" s="443">
        <v>272580635</v>
      </c>
      <c r="D15" s="443">
        <v>272600635</v>
      </c>
    </row>
    <row r="16" spans="2:4" ht="15">
      <c r="B16" s="435"/>
      <c r="C16" s="435"/>
      <c r="D16" s="435"/>
    </row>
    <row r="17" spans="2:4" ht="15">
      <c r="B17" s="436" t="s">
        <v>373</v>
      </c>
      <c r="C17" s="435"/>
      <c r="D17" s="435"/>
    </row>
    <row r="18" spans="2:4" ht="15">
      <c r="B18" s="435"/>
      <c r="C18" s="435"/>
      <c r="D18" s="435"/>
    </row>
    <row r="19" spans="2:4">
      <c r="B19" s="437" t="s">
        <v>374</v>
      </c>
      <c r="C19" s="438">
        <f>+Resultado!D5</f>
        <v>483042204</v>
      </c>
      <c r="D19" s="438">
        <f>+Resultado!E5</f>
        <v>475235519</v>
      </c>
    </row>
    <row r="20" spans="2:4">
      <c r="B20" s="437" t="s">
        <v>375</v>
      </c>
      <c r="C20" s="438">
        <f>+Resultado!D6+Resultado!D7+Resultado!D8+Resultado!D9</f>
        <v>-303759200</v>
      </c>
      <c r="D20" s="438">
        <f>+Resultado!E6+Resultado!E7+Resultado!E8+Resultado!E9</f>
        <v>-291209994</v>
      </c>
    </row>
    <row r="21" spans="2:4">
      <c r="B21" s="437" t="s">
        <v>376</v>
      </c>
      <c r="C21" s="438">
        <f>+Resultado!D12+Resultado!D13+Resultado!D15+Resultado!D16</f>
        <v>-60695357</v>
      </c>
      <c r="D21" s="438">
        <f>+Resultado!E12+Resultado!E13+Resultado!E15+Resultado!E16</f>
        <v>-51157663</v>
      </c>
    </row>
    <row r="22" spans="2:4">
      <c r="B22" s="437" t="s">
        <v>377</v>
      </c>
      <c r="C22" s="438">
        <f>+Resultado!D14+Resultado!D10</f>
        <v>-4313700</v>
      </c>
      <c r="D22" s="438">
        <f>+Resultado!E14+Resultado!E10</f>
        <v>-12591035</v>
      </c>
    </row>
    <row r="23" spans="2:4">
      <c r="B23" s="437" t="s">
        <v>378</v>
      </c>
      <c r="C23" s="438">
        <f>+Resultado!D19</f>
        <v>-24335533</v>
      </c>
      <c r="D23" s="438">
        <f>+Resultado!E19</f>
        <v>-25131820</v>
      </c>
    </row>
    <row r="24" spans="2:4" ht="13.5" thickBot="1">
      <c r="B24" s="437" t="s">
        <v>379</v>
      </c>
      <c r="C24" s="438">
        <v>-66560594</v>
      </c>
      <c r="D24" s="438">
        <v>-66560594</v>
      </c>
    </row>
    <row r="25" spans="2:4" ht="13.5" thickBot="1">
      <c r="B25" s="439" t="s">
        <v>380</v>
      </c>
      <c r="C25" s="440">
        <f>SUM(C19:C24)</f>
        <v>23377820</v>
      </c>
      <c r="D25" s="441">
        <v>41320156</v>
      </c>
    </row>
    <row r="26" spans="2:4" ht="15">
      <c r="B26" s="435"/>
      <c r="C26" s="448">
        <f>+C25-Resultado!D25</f>
        <v>-20951634</v>
      </c>
      <c r="D26" s="444">
        <v>48989724</v>
      </c>
    </row>
    <row r="27" spans="2:4" ht="15">
      <c r="B27" s="435"/>
      <c r="C27" s="445">
        <v>0</v>
      </c>
      <c r="D27" s="445">
        <v>0</v>
      </c>
    </row>
    <row r="28" spans="2:4" ht="15">
      <c r="B28" s="436" t="s">
        <v>381</v>
      </c>
      <c r="C28" s="435"/>
      <c r="D28" s="435"/>
    </row>
    <row r="29" spans="2:4" ht="15">
      <c r="B29" s="435"/>
      <c r="C29" s="435"/>
      <c r="D29" s="435"/>
    </row>
    <row r="30" spans="2:4">
      <c r="B30" s="437" t="s">
        <v>382</v>
      </c>
      <c r="C30" s="438">
        <v>207848297</v>
      </c>
      <c r="D30" s="438">
        <v>241057418</v>
      </c>
    </row>
    <row r="31" spans="2:4">
      <c r="B31" s="437" t="s">
        <v>383</v>
      </c>
      <c r="C31" s="438">
        <v>-150002292</v>
      </c>
      <c r="D31" s="438">
        <v>-165900708</v>
      </c>
    </row>
    <row r="32" spans="2:4">
      <c r="B32" s="437" t="s">
        <v>384</v>
      </c>
      <c r="C32" s="438">
        <v>-127596463</v>
      </c>
      <c r="D32" s="438">
        <v>-59169722</v>
      </c>
    </row>
    <row r="33" spans="2:4">
      <c r="B33" s="436" t="s">
        <v>385</v>
      </c>
      <c r="C33" s="446">
        <v>-69750458</v>
      </c>
      <c r="D33" s="446">
        <v>15986988</v>
      </c>
    </row>
    <row r="34" spans="2:4">
      <c r="B34" s="437" t="s">
        <v>386</v>
      </c>
      <c r="C34" s="438">
        <v>180545868</v>
      </c>
      <c r="D34" s="438">
        <v>164558880</v>
      </c>
    </row>
    <row r="35" spans="2:4" ht="15.75" thickBot="1">
      <c r="B35" s="435"/>
      <c r="C35" s="435"/>
      <c r="D35" s="435"/>
    </row>
    <row r="36" spans="2:4" ht="13.5" thickBot="1">
      <c r="B36" s="439" t="s">
        <v>387</v>
      </c>
      <c r="C36" s="440">
        <v>110795410</v>
      </c>
      <c r="D36" s="441">
        <v>180545868</v>
      </c>
    </row>
    <row r="37" spans="2:4" ht="15">
      <c r="B37" s="435"/>
      <c r="C37" s="443">
        <v>1210527</v>
      </c>
      <c r="D37" s="443">
        <v>1045566</v>
      </c>
    </row>
    <row r="38" spans="2:4" ht="15">
      <c r="B38" s="435"/>
      <c r="C38" s="435"/>
      <c r="D38" s="435"/>
    </row>
    <row r="39" spans="2:4" ht="15">
      <c r="B39" s="436" t="s">
        <v>388</v>
      </c>
      <c r="C39" s="435"/>
      <c r="D39" s="435"/>
    </row>
    <row r="40" spans="2:4" ht="15">
      <c r="B40" s="447"/>
      <c r="C40" s="447"/>
      <c r="D40" s="447"/>
    </row>
    <row r="41" spans="2:4">
      <c r="B41" s="437" t="s">
        <v>389</v>
      </c>
      <c r="C41" s="438">
        <f>+Balance!D58</f>
        <v>468358402</v>
      </c>
      <c r="D41" s="438">
        <f>+Balance!E58</f>
        <v>468358402</v>
      </c>
    </row>
    <row r="42" spans="2:4">
      <c r="B42" s="437" t="s">
        <v>390</v>
      </c>
      <c r="C42" s="438">
        <f>+Balance!D59</f>
        <v>205363086.88104901</v>
      </c>
      <c r="D42" s="438">
        <f>+Balance!E59</f>
        <v>203895643.88104901</v>
      </c>
    </row>
    <row r="43" spans="2:4">
      <c r="B43" s="437" t="s">
        <v>391</v>
      </c>
      <c r="C43" s="438">
        <f>+Balance!D61</f>
        <v>-37268415</v>
      </c>
      <c r="D43" s="438">
        <f>+Balance!E61</f>
        <v>-37268415</v>
      </c>
    </row>
    <row r="44" spans="2:4">
      <c r="B44" s="437" t="s">
        <v>392</v>
      </c>
      <c r="C44" s="438">
        <f>+Balance!D62</f>
        <v>221991660.9200604</v>
      </c>
      <c r="D44" s="438">
        <f>+Balance!E62</f>
        <v>80864058.224631608</v>
      </c>
    </row>
    <row r="45" spans="2:4" ht="13.5" thickBot="1">
      <c r="B45" s="437" t="s">
        <v>393</v>
      </c>
      <c r="C45" s="438">
        <f>+Balance!D64</f>
        <v>584160472.85245204</v>
      </c>
      <c r="D45" s="438">
        <f>+Balance!E64</f>
        <v>442178569</v>
      </c>
    </row>
    <row r="46" spans="2:4" ht="13.5" thickBot="1">
      <c r="B46" s="439" t="s">
        <v>96</v>
      </c>
      <c r="C46" s="440">
        <f>SUM(C41:C45)</f>
        <v>1442605207.6535616</v>
      </c>
      <c r="D46" s="440">
        <f>SUM(D41:D45)</f>
        <v>1158028258.1056807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C3A8-E3F9-460D-BE06-1DDDC1B7E75C}">
  <sheetPr>
    <tabColor rgb="FFFFC000"/>
  </sheetPr>
  <dimension ref="A1:N39"/>
  <sheetViews>
    <sheetView workbookViewId="0">
      <selection activeCell="C4" sqref="C4"/>
    </sheetView>
  </sheetViews>
  <sheetFormatPr baseColWidth="10" defaultColWidth="11.42578125" defaultRowHeight="12.75"/>
  <cols>
    <col min="1" max="1" width="4" style="35" customWidth="1"/>
    <col min="2" max="2" width="25.42578125" style="35" bestFit="1" customWidth="1"/>
    <col min="3" max="5" width="11.42578125" style="35"/>
    <col min="6" max="6" width="2.28515625" style="35" customWidth="1"/>
    <col min="7" max="16384" width="11.42578125" style="35"/>
  </cols>
  <sheetData>
    <row r="1" spans="1:14" ht="15" customHeight="1">
      <c r="A1" s="34" t="s">
        <v>195</v>
      </c>
    </row>
    <row r="3" spans="1:14" ht="13.5" thickBot="1">
      <c r="B3" s="2" t="s">
        <v>228</v>
      </c>
      <c r="C3" s="517" t="s">
        <v>459</v>
      </c>
      <c r="D3" s="517" t="s">
        <v>460</v>
      </c>
      <c r="E3" s="517" t="s">
        <v>169</v>
      </c>
      <c r="F3" s="7"/>
      <c r="G3" s="517" t="s">
        <v>413</v>
      </c>
    </row>
    <row r="4" spans="1:14" ht="15" customHeight="1">
      <c r="B4" s="4" t="s">
        <v>165</v>
      </c>
      <c r="C4" s="327">
        <f>+Resultado!F5</f>
        <v>143355594</v>
      </c>
      <c r="D4" s="327">
        <f>+Resultado!G5</f>
        <v>138426249</v>
      </c>
      <c r="E4" s="9">
        <f>+ROUND(G4/D4,3)</f>
        <v>3.5999999999999997E-2</v>
      </c>
      <c r="F4" s="7"/>
      <c r="G4" s="8">
        <f>+C4-D4</f>
        <v>4929345</v>
      </c>
    </row>
    <row r="5" spans="1:14" s="36" customFormat="1" ht="15" customHeight="1">
      <c r="B5" s="4" t="s">
        <v>178</v>
      </c>
      <c r="C5" s="327">
        <f>+Resultado!F6+Resultado!F7+Resultado!F9+Resultado!F14</f>
        <v>-84960629</v>
      </c>
      <c r="D5" s="327">
        <f>+Resultado!G6+Resultado!G7+Resultado!G9+Resultado!G14</f>
        <v>-79352217</v>
      </c>
      <c r="E5" s="9">
        <f t="shared" ref="E5:E14" si="0">+ROUND(G5/D5,3)</f>
        <v>7.0999999999999994E-2</v>
      </c>
      <c r="F5" s="7"/>
      <c r="G5" s="8">
        <f t="shared" ref="G5:G14" si="1">+C5-D5</f>
        <v>-5608412</v>
      </c>
    </row>
    <row r="6" spans="1:14" s="36" customFormat="1" ht="15" customHeight="1">
      <c r="B6" s="5" t="s">
        <v>179</v>
      </c>
      <c r="C6" s="350">
        <f>SUM(C4:C5)</f>
        <v>58394965</v>
      </c>
      <c r="D6" s="350">
        <f>SUM(D4:D5)</f>
        <v>59074032</v>
      </c>
      <c r="E6" s="11">
        <f t="shared" si="0"/>
        <v>-1.0999999999999999E-2</v>
      </c>
      <c r="F6" s="12"/>
      <c r="G6" s="10">
        <f t="shared" si="1"/>
        <v>-679067</v>
      </c>
    </row>
    <row r="7" spans="1:14" s="36" customFormat="1" ht="15" customHeight="1">
      <c r="B7" s="4" t="s">
        <v>180</v>
      </c>
      <c r="C7" s="327">
        <f>+Resultado!F8</f>
        <v>-20222286</v>
      </c>
      <c r="D7" s="327">
        <f>+Resultado!G8</f>
        <v>-19266471</v>
      </c>
      <c r="E7" s="9">
        <f t="shared" si="0"/>
        <v>0.05</v>
      </c>
      <c r="F7" s="7"/>
      <c r="G7" s="8">
        <f t="shared" si="1"/>
        <v>-955815</v>
      </c>
      <c r="L7" s="24"/>
      <c r="M7" s="24"/>
      <c r="N7" s="37"/>
    </row>
    <row r="8" spans="1:14" s="36" customFormat="1" ht="15" customHeight="1">
      <c r="B8" s="5" t="s">
        <v>181</v>
      </c>
      <c r="C8" s="350">
        <f>+C6+C7</f>
        <v>38172679</v>
      </c>
      <c r="D8" s="350">
        <f>+D6+D7</f>
        <v>39807561</v>
      </c>
      <c r="E8" s="11">
        <f t="shared" si="0"/>
        <v>-4.1000000000000002E-2</v>
      </c>
      <c r="F8" s="12"/>
      <c r="G8" s="10">
        <f t="shared" si="1"/>
        <v>-1634882</v>
      </c>
    </row>
    <row r="9" spans="1:14" s="36" customFormat="1" ht="15" customHeight="1">
      <c r="B9" s="4" t="s">
        <v>273</v>
      </c>
      <c r="C9" s="327">
        <f>+Resultado!F10</f>
        <v>-267717</v>
      </c>
      <c r="D9" s="327">
        <f>+Resultado!G10</f>
        <v>117193</v>
      </c>
      <c r="E9" s="9">
        <f t="shared" si="0"/>
        <v>-3.2839999999999998</v>
      </c>
      <c r="F9" s="55"/>
      <c r="G9" s="8">
        <f t="shared" si="1"/>
        <v>-384910</v>
      </c>
    </row>
    <row r="10" spans="1:14" s="36" customFormat="1" ht="15" customHeight="1">
      <c r="B10" s="4" t="s">
        <v>308</v>
      </c>
      <c r="C10" s="327">
        <v>0</v>
      </c>
      <c r="D10" s="327">
        <v>0</v>
      </c>
      <c r="E10" s="9">
        <v>0</v>
      </c>
      <c r="F10" s="55"/>
      <c r="G10" s="8">
        <f t="shared" si="1"/>
        <v>0</v>
      </c>
    </row>
    <row r="11" spans="1:14" s="36" customFormat="1" ht="15" customHeight="1">
      <c r="B11" s="4" t="s">
        <v>182</v>
      </c>
      <c r="C11" s="327">
        <f>+[2]Resultado!F11+[2]Resultado!F12+[2]Resultado!F14+[2]Resultado!F15</f>
        <v>-20757511</v>
      </c>
      <c r="D11" s="327">
        <f>+[2]Resultado!G11+[2]Resultado!G12+[2]Resultado!G14+[2]Resultado!G15</f>
        <v>-11281832</v>
      </c>
      <c r="E11" s="9">
        <f t="shared" si="0"/>
        <v>0.84</v>
      </c>
      <c r="F11" s="7"/>
      <c r="G11" s="8">
        <f t="shared" si="1"/>
        <v>-9475679</v>
      </c>
    </row>
    <row r="12" spans="1:14" s="36" customFormat="1" ht="15" customHeight="1">
      <c r="B12" s="4" t="s">
        <v>217</v>
      </c>
      <c r="C12" s="327">
        <f>+Resultado!F19</f>
        <v>-2617036</v>
      </c>
      <c r="D12" s="327">
        <f>+Resultado!G19</f>
        <v>-7166643</v>
      </c>
      <c r="E12" s="9">
        <f t="shared" si="0"/>
        <v>-0.63500000000000001</v>
      </c>
      <c r="F12" s="7"/>
      <c r="G12" s="8">
        <f t="shared" si="1"/>
        <v>4549607</v>
      </c>
    </row>
    <row r="13" spans="1:14" s="36" customFormat="1" ht="15" customHeight="1">
      <c r="B13" s="4" t="s">
        <v>461</v>
      </c>
      <c r="C13" s="327">
        <f>-[2]Resultado!F25</f>
        <v>-7432490</v>
      </c>
      <c r="D13" s="327">
        <f>-[2]Resultado!G25</f>
        <v>-11007287</v>
      </c>
      <c r="E13" s="9">
        <f t="shared" si="0"/>
        <v>-0.32500000000000001</v>
      </c>
      <c r="F13" s="7"/>
      <c r="G13" s="8">
        <f t="shared" si="1"/>
        <v>3574797</v>
      </c>
    </row>
    <row r="14" spans="1:14" s="36" customFormat="1" ht="15" customHeight="1">
      <c r="B14" s="5" t="s">
        <v>183</v>
      </c>
      <c r="C14" s="328">
        <f>+SUM(C8:C13)</f>
        <v>7097925</v>
      </c>
      <c r="D14" s="328">
        <f>+SUM(D8:D13)</f>
        <v>10468992</v>
      </c>
      <c r="E14" s="11">
        <f t="shared" si="0"/>
        <v>-0.32200000000000001</v>
      </c>
      <c r="F14" s="12"/>
      <c r="G14" s="10">
        <f t="shared" si="1"/>
        <v>-3371067</v>
      </c>
    </row>
    <row r="15" spans="1:14" s="36" customFormat="1" ht="15" customHeight="1">
      <c r="C15" s="328">
        <f>+C14-Resultado!F25</f>
        <v>0</v>
      </c>
      <c r="D15" s="328">
        <f>+D14-Resultado!G25</f>
        <v>0</v>
      </c>
    </row>
    <row r="16" spans="1:14" s="36" customFormat="1" ht="15" customHeight="1"/>
    <row r="17" s="36" customFormat="1" ht="15" customHeight="1"/>
    <row r="18" s="36" customFormat="1" ht="15" customHeight="1"/>
    <row r="19" s="36" customFormat="1" ht="15" customHeight="1"/>
    <row r="20" s="36" customFormat="1" ht="15" customHeight="1"/>
    <row r="21" s="36" customFormat="1" ht="15" customHeight="1"/>
    <row r="22" s="36" customFormat="1" ht="15" customHeight="1"/>
    <row r="23" s="36" customFormat="1" ht="15" customHeight="1"/>
    <row r="24" s="36" customFormat="1" ht="15" customHeight="1"/>
    <row r="25" s="36" customFormat="1" ht="15" customHeight="1"/>
    <row r="26" s="36" customFormat="1" ht="15" customHeight="1"/>
    <row r="27" s="36" customFormat="1" ht="15" customHeight="1"/>
    <row r="28" s="36" customFormat="1" ht="15" customHeight="1"/>
    <row r="39" ht="1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1F5B-6D5D-44B9-8A36-C9D6DF59615D}">
  <sheetPr>
    <tabColor rgb="FFFFC000"/>
  </sheetPr>
  <dimension ref="B2:H23"/>
  <sheetViews>
    <sheetView workbookViewId="0">
      <selection activeCell="F12" sqref="F12"/>
    </sheetView>
  </sheetViews>
  <sheetFormatPr baseColWidth="10" defaultRowHeight="12.75"/>
  <cols>
    <col min="2" max="2" width="35.28515625" customWidth="1"/>
    <col min="3" max="3" width="15.5703125" customWidth="1"/>
    <col min="4" max="4" width="12.85546875" customWidth="1"/>
    <col min="8" max="8" width="12.28515625" bestFit="1" customWidth="1"/>
  </cols>
  <sheetData>
    <row r="2" spans="2:8" ht="17.25">
      <c r="B2" s="420" t="s">
        <v>356</v>
      </c>
    </row>
    <row r="3" spans="2:8" ht="13.5" thickBot="1">
      <c r="B3" s="53" t="s">
        <v>341</v>
      </c>
      <c r="C3" s="326" t="s">
        <v>457</v>
      </c>
      <c r="D3" s="326" t="s">
        <v>458</v>
      </c>
      <c r="E3" s="325" t="s">
        <v>267</v>
      </c>
      <c r="F3" s="325" t="s">
        <v>399</v>
      </c>
    </row>
    <row r="4" spans="2:8">
      <c r="B4" s="413" t="s">
        <v>342</v>
      </c>
      <c r="C4" s="415">
        <f>+Resultado!D6</f>
        <v>-61764849</v>
      </c>
      <c r="D4" s="415">
        <f>+Resultado!E6</f>
        <v>-68296428</v>
      </c>
      <c r="E4" s="398">
        <f>+F4/D4</f>
        <v>-9.5635733687272781E-2</v>
      </c>
      <c r="F4" s="415">
        <f>+C4-D4</f>
        <v>6531579</v>
      </c>
      <c r="H4" s="418">
        <f>+F4/D4</f>
        <v>-9.5635733687272781E-2</v>
      </c>
    </row>
    <row r="5" spans="2:8">
      <c r="B5" s="413" t="s">
        <v>343</v>
      </c>
      <c r="C5" s="415">
        <f>+Resultado!D7</f>
        <v>-60905888</v>
      </c>
      <c r="D5" s="415">
        <f>+Resultado!E7</f>
        <v>-55865906</v>
      </c>
      <c r="E5" s="423">
        <f t="shared" ref="E5:E10" si="0">+F5/D5</f>
        <v>9.0215703294957747E-2</v>
      </c>
      <c r="F5" s="415">
        <f t="shared" ref="F5:F10" si="1">+C5-D5</f>
        <v>-5039982</v>
      </c>
      <c r="H5" s="418">
        <f t="shared" ref="H5:H10" si="2">+F5/D5</f>
        <v>9.0215703294957747E-2</v>
      </c>
    </row>
    <row r="6" spans="2:8">
      <c r="B6" s="413" t="s">
        <v>344</v>
      </c>
      <c r="C6" s="415">
        <f>+Resultado!D9</f>
        <v>-120284220</v>
      </c>
      <c r="D6" s="415">
        <f>+Resultado!E9</f>
        <v>-110473443</v>
      </c>
      <c r="E6" s="423">
        <f t="shared" si="0"/>
        <v>8.8806655550691949E-2</v>
      </c>
      <c r="F6" s="415">
        <f>+C6-D6</f>
        <v>-9810777</v>
      </c>
      <c r="H6" s="418">
        <f t="shared" si="2"/>
        <v>8.8806655550691949E-2</v>
      </c>
    </row>
    <row r="7" spans="2:8">
      <c r="B7" s="413" t="s">
        <v>396</v>
      </c>
      <c r="C7" s="415">
        <f>+Resultado!D14</f>
        <v>-6550791</v>
      </c>
      <c r="D7" s="415">
        <f>+Resultado!E14</f>
        <v>-10816911</v>
      </c>
      <c r="E7" s="398">
        <f t="shared" si="0"/>
        <v>-0.39439355653383856</v>
      </c>
      <c r="F7" s="415">
        <f>+C7-D7</f>
        <v>4266120</v>
      </c>
      <c r="H7" s="418">
        <f t="shared" si="2"/>
        <v>-0.39439355653383856</v>
      </c>
    </row>
    <row r="8" spans="2:8">
      <c r="B8" s="54" t="s">
        <v>253</v>
      </c>
      <c r="C8" s="417">
        <f>SUM(C4:C7)</f>
        <v>-249505748</v>
      </c>
      <c r="D8" s="417">
        <f>SUM(D4:D7)</f>
        <v>-245452688</v>
      </c>
      <c r="E8" s="403">
        <f t="shared" si="0"/>
        <v>1.651259162417484E-2</v>
      </c>
      <c r="F8" s="417">
        <f t="shared" si="1"/>
        <v>-4053060</v>
      </c>
      <c r="H8" s="418">
        <f t="shared" si="2"/>
        <v>1.651259162417484E-2</v>
      </c>
    </row>
    <row r="9" spans="2:8">
      <c r="B9" s="413" t="s">
        <v>397</v>
      </c>
      <c r="C9" s="415">
        <f>+Resultado!D8</f>
        <v>-60804243</v>
      </c>
      <c r="D9" s="415">
        <f>+Resultado!E8</f>
        <v>-56574217</v>
      </c>
      <c r="E9" s="423">
        <f t="shared" si="0"/>
        <v>7.4769501449750517E-2</v>
      </c>
      <c r="F9" s="415">
        <f t="shared" si="1"/>
        <v>-4230026</v>
      </c>
      <c r="H9" s="418">
        <f t="shared" si="2"/>
        <v>7.4769501449750517E-2</v>
      </c>
    </row>
    <row r="10" spans="2:8">
      <c r="B10" s="414" t="s">
        <v>345</v>
      </c>
      <c r="C10" s="417">
        <f>+C9+C8</f>
        <v>-310309991</v>
      </c>
      <c r="D10" s="417">
        <f>+D9+D8</f>
        <v>-302026905</v>
      </c>
      <c r="E10" s="424">
        <f t="shared" si="0"/>
        <v>2.7424993809740228E-2</v>
      </c>
      <c r="F10" s="417">
        <f t="shared" si="1"/>
        <v>-8283086</v>
      </c>
      <c r="H10" s="418">
        <f t="shared" si="2"/>
        <v>2.7424993809740228E-2</v>
      </c>
    </row>
    <row r="11" spans="2:8">
      <c r="B11" s="416" t="s">
        <v>346</v>
      </c>
    </row>
    <row r="14" spans="2:8" ht="17.25">
      <c r="B14" s="421" t="s">
        <v>355</v>
      </c>
    </row>
    <row r="15" spans="2:8" ht="18" thickBot="1">
      <c r="B15" s="422" t="s">
        <v>357</v>
      </c>
      <c r="C15" s="326" t="str">
        <f>+C3</f>
        <v>Sept. 24</v>
      </c>
      <c r="D15" s="326" t="s">
        <v>458</v>
      </c>
      <c r="E15" s="326" t="s">
        <v>347</v>
      </c>
      <c r="F15" s="53" t="s">
        <v>409</v>
      </c>
    </row>
    <row r="16" spans="2:8">
      <c r="B16" s="413" t="s">
        <v>348</v>
      </c>
      <c r="C16" s="415">
        <f>+Resultado!D12</f>
        <v>7660824</v>
      </c>
      <c r="D16" s="415">
        <f>+Resultado!E12</f>
        <v>12898623</v>
      </c>
      <c r="E16" s="398">
        <f>+F16/D16</f>
        <v>-0.40607427630065629</v>
      </c>
      <c r="F16" s="415">
        <f>+C16-D16</f>
        <v>-5237799</v>
      </c>
    </row>
    <row r="17" spans="2:6">
      <c r="B17" s="413" t="s">
        <v>349</v>
      </c>
      <c r="C17" s="415">
        <f>+Resultado!D13</f>
        <v>-37240845</v>
      </c>
      <c r="D17" s="415">
        <f>+Resultado!E13</f>
        <v>-36684053</v>
      </c>
      <c r="E17" s="423">
        <f>+F17/D17</f>
        <v>1.5178039351322494E-2</v>
      </c>
      <c r="F17" s="415">
        <f t="shared" ref="F17:F22" si="3">+C17-D17</f>
        <v>-556792</v>
      </c>
    </row>
    <row r="18" spans="2:6">
      <c r="B18" s="413" t="s">
        <v>350</v>
      </c>
      <c r="C18" s="415">
        <f>+Resultado!D15</f>
        <v>268012</v>
      </c>
      <c r="D18" s="415">
        <f>+Resultado!E15</f>
        <v>2514886</v>
      </c>
      <c r="E18" s="398">
        <f>+F18/D18</f>
        <v>-0.89342976182618217</v>
      </c>
      <c r="F18" s="415">
        <f t="shared" si="3"/>
        <v>-2246874</v>
      </c>
    </row>
    <row r="19" spans="2:6">
      <c r="B19" s="413" t="s">
        <v>352</v>
      </c>
      <c r="C19" s="415">
        <f>+Resultado!D16</f>
        <v>-31383348</v>
      </c>
      <c r="D19" s="415">
        <f>+Resultado!E16</f>
        <v>-29887119</v>
      </c>
      <c r="E19" s="398">
        <f>+F19/D19</f>
        <v>5.006267081146229E-2</v>
      </c>
      <c r="F19" s="415">
        <f t="shared" si="3"/>
        <v>-1496229</v>
      </c>
    </row>
    <row r="20" spans="2:6">
      <c r="B20" s="54" t="s">
        <v>463</v>
      </c>
      <c r="C20" s="417">
        <f>SUM(C16:C19)</f>
        <v>-60695357</v>
      </c>
      <c r="D20" s="417">
        <f>SUM(D16:D19)</f>
        <v>-51157663</v>
      </c>
      <c r="E20" s="403">
        <f>+F20/D20</f>
        <v>0.18643724987984694</v>
      </c>
      <c r="F20" s="417">
        <f t="shared" si="3"/>
        <v>-9537694</v>
      </c>
    </row>
    <row r="21" spans="2:6">
      <c r="B21" s="413" t="s">
        <v>353</v>
      </c>
      <c r="C21" s="415">
        <f>+Resultado!D10</f>
        <v>2237091</v>
      </c>
      <c r="D21" s="415">
        <f>+Resultado!E10</f>
        <v>-1774124</v>
      </c>
      <c r="E21" s="426" t="s">
        <v>351</v>
      </c>
      <c r="F21" s="415">
        <f t="shared" si="3"/>
        <v>4011215</v>
      </c>
    </row>
    <row r="22" spans="2:6">
      <c r="B22" s="413" t="s">
        <v>354</v>
      </c>
      <c r="C22" s="415">
        <f>+Resultado!D19</f>
        <v>-24335533</v>
      </c>
      <c r="D22" s="415">
        <f>+Resultado!E19</f>
        <v>-25131820</v>
      </c>
      <c r="E22" s="398">
        <f>+F22/D22</f>
        <v>-3.1684414419648081E-2</v>
      </c>
      <c r="F22" s="415">
        <f t="shared" si="3"/>
        <v>796287</v>
      </c>
    </row>
    <row r="23" spans="2:6">
      <c r="B23" s="54"/>
      <c r="C23" s="419"/>
      <c r="D23" s="419"/>
      <c r="E23" s="419"/>
      <c r="F23" s="419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  <pageSetUpPr fitToPage="1"/>
  </sheetPr>
  <dimension ref="A1:T97"/>
  <sheetViews>
    <sheetView showGridLines="0" topLeftCell="A14" workbookViewId="0">
      <selection activeCell="C6" sqref="C6"/>
    </sheetView>
  </sheetViews>
  <sheetFormatPr baseColWidth="10" defaultColWidth="11.42578125" defaultRowHeight="15" customHeight="1"/>
  <cols>
    <col min="1" max="1" width="4" style="7" customWidth="1"/>
    <col min="2" max="2" width="44.85546875" style="7" bestFit="1" customWidth="1"/>
    <col min="3" max="3" width="17.7109375" style="7" bestFit="1" customWidth="1"/>
    <col min="4" max="4" width="12.7109375" style="7" customWidth="1"/>
    <col min="5" max="5" width="15.5703125" style="7" customWidth="1"/>
    <col min="6" max="7" width="12.5703125" style="7" bestFit="1" customWidth="1"/>
    <col min="8" max="8" width="11.42578125" style="7"/>
    <col min="9" max="9" width="11.42578125" style="7" customWidth="1"/>
    <col min="10" max="10" width="14.140625" style="7" customWidth="1"/>
    <col min="11" max="11" width="11.42578125" style="7" customWidth="1"/>
    <col min="12" max="16384" width="11.42578125" style="7"/>
  </cols>
  <sheetData>
    <row r="1" spans="1:12" ht="15" customHeight="1">
      <c r="A1" s="13" t="s">
        <v>195</v>
      </c>
    </row>
    <row r="3" spans="1:12" ht="15" customHeight="1" thickBot="1">
      <c r="B3" s="2" t="s">
        <v>228</v>
      </c>
      <c r="C3" s="430">
        <f>+Resultado!D3</f>
        <v>45565</v>
      </c>
      <c r="D3" s="430">
        <f>+Resultado!E3</f>
        <v>45199</v>
      </c>
      <c r="E3" s="273" t="s">
        <v>267</v>
      </c>
      <c r="F3" s="325" t="s">
        <v>399</v>
      </c>
    </row>
    <row r="4" spans="1:12" ht="15" customHeight="1">
      <c r="B4" s="3" t="s">
        <v>252</v>
      </c>
      <c r="C4" s="503">
        <f>+Resultado!D5</f>
        <v>483042204</v>
      </c>
      <c r="D4" s="327">
        <f>+Resultado!E5</f>
        <v>475235519</v>
      </c>
      <c r="E4" s="9">
        <f>ROUND(+F4/D4,3)</f>
        <v>1.6E-2</v>
      </c>
      <c r="F4" s="8">
        <f t="shared" ref="F4:F14" si="0">+C4-D4</f>
        <v>7806685</v>
      </c>
      <c r="I4" s="327">
        <f>+Resultado!J5</f>
        <v>4929345</v>
      </c>
      <c r="J4" s="327">
        <f>+Resultado!K5</f>
        <v>0</v>
      </c>
      <c r="K4" s="519">
        <f>+C4/1000</f>
        <v>483042.20400000003</v>
      </c>
      <c r="L4" s="519">
        <f>+D4/1000</f>
        <v>475235.51899999997</v>
      </c>
    </row>
    <row r="5" spans="1:12" s="14" customFormat="1" ht="15" customHeight="1">
      <c r="B5" s="4" t="s">
        <v>253</v>
      </c>
      <c r="C5" s="503">
        <f>+Resultado!D6+Resultado!D7+Resultado!D9+Resultado!D14</f>
        <v>-249505748</v>
      </c>
      <c r="D5" s="327">
        <f>+Resultado!E6+Resultado!E7+Resultado!E9+Resultado!E14</f>
        <v>-245452688</v>
      </c>
      <c r="E5" s="9">
        <f>ROUND(+F5/D5,3)</f>
        <v>1.7000000000000001E-2</v>
      </c>
      <c r="F5" s="8">
        <f t="shared" si="0"/>
        <v>-4053060</v>
      </c>
      <c r="I5" s="327">
        <f>+Resultado!J6+Resultado!J7+Resultado!J9+Resultado!J14</f>
        <v>-5608412</v>
      </c>
      <c r="J5" s="327">
        <f>+Resultado!K6+Resultado!K7+Resultado!K9+Resultado!K14</f>
        <v>-3826116</v>
      </c>
    </row>
    <row r="6" spans="1:12" s="14" customFormat="1" ht="15" customHeight="1">
      <c r="B6" s="5" t="s">
        <v>179</v>
      </c>
      <c r="C6" s="328">
        <f>+C4+C5</f>
        <v>233536456</v>
      </c>
      <c r="D6" s="328">
        <f>+D4+D5</f>
        <v>229782831</v>
      </c>
      <c r="E6" s="11">
        <f>ROUND(+F6/D6,3)</f>
        <v>1.6E-2</v>
      </c>
      <c r="F6" s="8">
        <f t="shared" si="0"/>
        <v>3753625</v>
      </c>
      <c r="G6" s="408"/>
      <c r="I6" s="328">
        <f>+I4+I5</f>
        <v>-679067</v>
      </c>
      <c r="J6" s="328">
        <f>+J4+J5</f>
        <v>-3826116</v>
      </c>
      <c r="K6" s="519">
        <f>+C6/1000</f>
        <v>233536.45600000001</v>
      </c>
      <c r="L6" s="519">
        <f>+D6/1000</f>
        <v>229782.83100000001</v>
      </c>
    </row>
    <row r="7" spans="1:12" s="14" customFormat="1" ht="15" customHeight="1">
      <c r="B7" s="4" t="s">
        <v>62</v>
      </c>
      <c r="C7" s="327">
        <f>+Resultado!D8</f>
        <v>-60804243</v>
      </c>
      <c r="D7" s="327">
        <f>+Resultado!E8</f>
        <v>-56574217</v>
      </c>
      <c r="E7" s="9">
        <f>ROUND(+F7/D7,3)</f>
        <v>7.4999999999999997E-2</v>
      </c>
      <c r="F7" s="8">
        <f t="shared" si="0"/>
        <v>-4230026</v>
      </c>
      <c r="I7" s="327">
        <f>+Resultado!J8</f>
        <v>-955815</v>
      </c>
      <c r="J7" s="327">
        <f>+Resultado!K8</f>
        <v>0</v>
      </c>
    </row>
    <row r="8" spans="1:12" s="14" customFormat="1" ht="15" customHeight="1">
      <c r="B8" s="5" t="s">
        <v>254</v>
      </c>
      <c r="C8" s="328">
        <f>+C6+C7</f>
        <v>172732213</v>
      </c>
      <c r="D8" s="328">
        <f>+D6+D7</f>
        <v>173208614</v>
      </c>
      <c r="E8" s="11">
        <f>ROUND(+F8/D8,3)</f>
        <v>-3.0000000000000001E-3</v>
      </c>
      <c r="F8" s="10">
        <f t="shared" si="0"/>
        <v>-476401</v>
      </c>
      <c r="I8" s="328">
        <f>+I6+I7</f>
        <v>-1634882</v>
      </c>
      <c r="J8" s="328">
        <f>+J6+J7</f>
        <v>-3826116</v>
      </c>
    </row>
    <row r="9" spans="1:12" s="14" customFormat="1" ht="15" customHeight="1">
      <c r="B9" s="4" t="s">
        <v>255</v>
      </c>
      <c r="C9" s="327">
        <f>+Resultado!D10</f>
        <v>2237091</v>
      </c>
      <c r="D9" s="327">
        <f>+Resultado!E10</f>
        <v>-1774124</v>
      </c>
      <c r="E9" s="425" t="s">
        <v>351</v>
      </c>
      <c r="F9" s="8">
        <f t="shared" si="0"/>
        <v>4011215</v>
      </c>
      <c r="I9" s="327">
        <f>+Resultado!J10</f>
        <v>-384910</v>
      </c>
      <c r="J9" s="327">
        <f>+Resultado!K10</f>
        <v>0</v>
      </c>
    </row>
    <row r="10" spans="1:12" s="14" customFormat="1" ht="15" hidden="1" customHeight="1">
      <c r="B10" s="4" t="s">
        <v>311</v>
      </c>
      <c r="C10" s="327">
        <v>0</v>
      </c>
      <c r="D10" s="327">
        <v>0</v>
      </c>
      <c r="E10" s="341"/>
      <c r="F10" s="8">
        <f t="shared" si="0"/>
        <v>0</v>
      </c>
      <c r="I10" s="327">
        <v>0</v>
      </c>
      <c r="J10" s="327">
        <v>0</v>
      </c>
    </row>
    <row r="11" spans="1:12" s="14" customFormat="1" ht="15" customHeight="1">
      <c r="B11" s="4" t="s">
        <v>256</v>
      </c>
      <c r="C11" s="327">
        <f>+Resultado!D12+Resultado!D13+Resultado!D15+Resultado!D16</f>
        <v>-60695357</v>
      </c>
      <c r="D11" s="327">
        <f>+Resultado!E12+Resultado!E13+Resultado!E15+Resultado!E16</f>
        <v>-51157663</v>
      </c>
      <c r="E11" s="9">
        <f>ROUND(+F11/D11,3)</f>
        <v>0.186</v>
      </c>
      <c r="F11" s="8">
        <f t="shared" si="0"/>
        <v>-9537694</v>
      </c>
      <c r="I11" s="327">
        <f>+Resultado!J12+Resultado!J13+Resultado!J15+Resultado!J16</f>
        <v>-9475679</v>
      </c>
      <c r="J11" s="327">
        <f>+Resultado!K12+Resultado!K13+Resultado!K15+Resultado!K16</f>
        <v>0</v>
      </c>
    </row>
    <row r="12" spans="1:12" s="14" customFormat="1" ht="15" customHeight="1">
      <c r="B12" s="4" t="s">
        <v>217</v>
      </c>
      <c r="C12" s="327">
        <f>+Resultado!D19</f>
        <v>-24335533</v>
      </c>
      <c r="D12" s="327">
        <f>+Resultado!E19</f>
        <v>-25131820</v>
      </c>
      <c r="E12" s="11">
        <f>ROUND(+F12/D12,3)</f>
        <v>-3.2000000000000001E-2</v>
      </c>
      <c r="F12" s="8">
        <f t="shared" si="0"/>
        <v>796287</v>
      </c>
      <c r="I12" s="327">
        <f>+Resultado!J19</f>
        <v>4549607</v>
      </c>
      <c r="J12" s="327">
        <f>+Resultado!K19</f>
        <v>0</v>
      </c>
    </row>
    <row r="13" spans="1:12" s="14" customFormat="1" ht="15" customHeight="1">
      <c r="B13" s="4" t="s">
        <v>339</v>
      </c>
      <c r="C13" s="327">
        <f>-Resultado!D26</f>
        <v>-45608960</v>
      </c>
      <c r="D13" s="327">
        <f>-Resultado!E26</f>
        <v>-48143697</v>
      </c>
      <c r="E13" s="9">
        <f>ROUND(+F13/D13,3)</f>
        <v>-5.2999999999999999E-2</v>
      </c>
      <c r="F13" s="8">
        <f t="shared" si="0"/>
        <v>2534737</v>
      </c>
      <c r="G13" s="488">
        <f>+F13+F12+F9</f>
        <v>7342239</v>
      </c>
      <c r="I13" s="327">
        <f>-Resultado!J26</f>
        <v>3574797</v>
      </c>
      <c r="J13" s="327">
        <f>-Resultado!K26</f>
        <v>0</v>
      </c>
    </row>
    <row r="14" spans="1:12" s="14" customFormat="1" ht="15" customHeight="1">
      <c r="B14" s="5" t="s">
        <v>257</v>
      </c>
      <c r="C14" s="328">
        <f>SUM(C8:C13)</f>
        <v>44329454</v>
      </c>
      <c r="D14" s="328">
        <f>SUM(D8:D13)</f>
        <v>47001310</v>
      </c>
      <c r="E14" s="11">
        <f>ROUND(+F14/D14,3)</f>
        <v>-5.7000000000000002E-2</v>
      </c>
      <c r="F14" s="10">
        <f t="shared" si="0"/>
        <v>-2671856</v>
      </c>
      <c r="G14" s="488">
        <f>+G13+F11+F7+F6</f>
        <v>-2671856</v>
      </c>
      <c r="I14" s="328">
        <f>SUM(I8:I13)</f>
        <v>-3371067</v>
      </c>
      <c r="J14" s="328">
        <f>SUM(J8:J13)</f>
        <v>-3826116</v>
      </c>
      <c r="K14" s="519">
        <f>+C14/1000</f>
        <v>44329.453999999998</v>
      </c>
      <c r="L14" s="519">
        <f>+D14/1000</f>
        <v>47001.31</v>
      </c>
    </row>
    <row r="15" spans="1:12" s="14" customFormat="1" ht="15" customHeight="1">
      <c r="B15" s="404" t="s">
        <v>337</v>
      </c>
      <c r="C15" s="19"/>
      <c r="D15" s="19"/>
    </row>
    <row r="16" spans="1:12" s="14" customFormat="1" ht="15" customHeight="1">
      <c r="B16" s="404"/>
      <c r="C16" s="19"/>
      <c r="D16" s="19"/>
    </row>
    <row r="17" spans="2:7" s="14" customFormat="1" ht="15" customHeight="1">
      <c r="B17" s="404"/>
      <c r="C17" s="19"/>
      <c r="D17" s="19"/>
    </row>
    <row r="18" spans="2:7" s="14" customFormat="1" ht="15" customHeight="1">
      <c r="B18" s="404"/>
      <c r="C18" s="19"/>
      <c r="D18" s="19"/>
    </row>
    <row r="19" spans="2:7" s="14" customFormat="1" ht="15" customHeight="1" thickBot="1">
      <c r="B19" s="53" t="s">
        <v>410</v>
      </c>
      <c r="C19" s="326" t="s">
        <v>411</v>
      </c>
      <c r="D19" s="326" t="s">
        <v>412</v>
      </c>
      <c r="E19" s="326" t="s">
        <v>169</v>
      </c>
      <c r="F19" s="326" t="s">
        <v>413</v>
      </c>
      <c r="G19" s="326"/>
    </row>
    <row r="20" spans="2:7" s="14" customFormat="1" ht="15" customHeight="1">
      <c r="B20" s="3" t="str">
        <f>+B4</f>
        <v>Ingresos ordinarios</v>
      </c>
      <c r="C20" s="503">
        <f>+Resultado!F5</f>
        <v>143355594</v>
      </c>
      <c r="D20" s="327">
        <f>+Resultado!G5</f>
        <v>138426249</v>
      </c>
      <c r="E20" s="9">
        <f t="shared" ref="E20:E25" si="1">ROUND(+F20/D20,3)</f>
        <v>3.5999999999999997E-2</v>
      </c>
      <c r="F20" s="8">
        <f t="shared" ref="F20:F30" si="2">+C20-D20</f>
        <v>4929345</v>
      </c>
    </row>
    <row r="21" spans="2:7" s="14" customFormat="1" ht="15" customHeight="1">
      <c r="B21" s="4" t="str">
        <f t="shared" ref="B21:B32" si="3">+B5</f>
        <v>Costos y gastos de operación</v>
      </c>
      <c r="C21" s="503">
        <f>+Resultado!F6+Resultado!F7+Resultado!F9+Resultado!F14</f>
        <v>-84960629</v>
      </c>
      <c r="D21" s="327">
        <f>+Resultado!G6+Resultado!G7+Resultado!G9+Resultado!G14</f>
        <v>-79352217</v>
      </c>
      <c r="E21" s="9">
        <f t="shared" si="1"/>
        <v>7.0999999999999994E-2</v>
      </c>
      <c r="F21" s="8">
        <f t="shared" si="2"/>
        <v>-5608412</v>
      </c>
    </row>
    <row r="22" spans="2:7" s="14" customFormat="1" ht="15" customHeight="1">
      <c r="B22" s="5" t="str">
        <f t="shared" si="3"/>
        <v>EBITDA</v>
      </c>
      <c r="C22" s="328">
        <f>+C20+C21</f>
        <v>58394965</v>
      </c>
      <c r="D22" s="328">
        <f>+D20+D21</f>
        <v>59074032</v>
      </c>
      <c r="E22" s="11">
        <f t="shared" si="1"/>
        <v>-1.0999999999999999E-2</v>
      </c>
      <c r="F22" s="8">
        <f t="shared" si="2"/>
        <v>-679067</v>
      </c>
    </row>
    <row r="23" spans="2:7" s="14" customFormat="1" ht="15" customHeight="1">
      <c r="B23" s="4" t="str">
        <f t="shared" si="3"/>
        <v>Depreciación y amortización</v>
      </c>
      <c r="C23" s="327">
        <f>+Resultado!F8</f>
        <v>-20222286</v>
      </c>
      <c r="D23" s="327">
        <f>+Resultado!G8</f>
        <v>-19266471</v>
      </c>
      <c r="E23" s="9">
        <f t="shared" si="1"/>
        <v>0.05</v>
      </c>
      <c r="F23" s="8">
        <f t="shared" si="2"/>
        <v>-955815</v>
      </c>
    </row>
    <row r="24" spans="2:7" s="14" customFormat="1" ht="15" customHeight="1">
      <c r="B24" s="5" t="str">
        <f t="shared" si="3"/>
        <v>Resultado de explotación</v>
      </c>
      <c r="C24" s="328">
        <f>+C22+C23</f>
        <v>38172679</v>
      </c>
      <c r="D24" s="328">
        <f>+D22+D23</f>
        <v>39807561</v>
      </c>
      <c r="E24" s="11">
        <f t="shared" si="1"/>
        <v>-4.1000000000000002E-2</v>
      </c>
      <c r="F24" s="10">
        <f t="shared" si="2"/>
        <v>-1634882</v>
      </c>
    </row>
    <row r="25" spans="2:7" s="14" customFormat="1" ht="15" customHeight="1">
      <c r="B25" s="4" t="str">
        <f t="shared" si="3"/>
        <v>Otras ganancias</v>
      </c>
      <c r="C25" s="327">
        <f>+Resultado!F10</f>
        <v>-267717</v>
      </c>
      <c r="D25" s="327">
        <f>+Resultado!G10</f>
        <v>117193</v>
      </c>
      <c r="E25" s="9">
        <f t="shared" si="1"/>
        <v>-3.2839999999999998</v>
      </c>
      <c r="F25" s="8">
        <f t="shared" si="2"/>
        <v>-384910</v>
      </c>
    </row>
    <row r="26" spans="2:7" s="14" customFormat="1" ht="15" hidden="1" customHeight="1">
      <c r="B26" s="4" t="str">
        <f t="shared" si="3"/>
        <v>Pérdidas por deterioro de valor</v>
      </c>
      <c r="C26" s="327">
        <v>0</v>
      </c>
      <c r="D26" s="327">
        <v>0</v>
      </c>
      <c r="E26" s="341"/>
      <c r="F26" s="8">
        <f t="shared" si="2"/>
        <v>0</v>
      </c>
    </row>
    <row r="27" spans="2:7" s="14" customFormat="1" ht="15" customHeight="1">
      <c r="B27" s="4" t="str">
        <f t="shared" si="3"/>
        <v>Resultado financiero*</v>
      </c>
      <c r="C27" s="327">
        <f>+Resultado!F12+Resultado!F13+Resultado!F15+Resultado!F16</f>
        <v>-20757511</v>
      </c>
      <c r="D27" s="327">
        <f>+Resultado!G12+Resultado!G13+Resultado!G15+Resultado!G16</f>
        <v>-11281832</v>
      </c>
      <c r="E27" s="9">
        <f>ROUND(+F27/D27,3)</f>
        <v>0.84</v>
      </c>
      <c r="F27" s="8">
        <f t="shared" si="2"/>
        <v>-9475679</v>
      </c>
    </row>
    <row r="28" spans="2:7" s="14" customFormat="1" ht="15" customHeight="1">
      <c r="B28" s="4" t="str">
        <f t="shared" si="3"/>
        <v>Gasto por impuestos</v>
      </c>
      <c r="C28" s="327">
        <f>+Resultado!F19</f>
        <v>-2617036</v>
      </c>
      <c r="D28" s="327">
        <f>+Resultado!G19</f>
        <v>-7166643</v>
      </c>
      <c r="E28" s="11">
        <f>ROUND(+F28/D28,3)</f>
        <v>-0.63500000000000001</v>
      </c>
      <c r="F28" s="8">
        <f t="shared" si="2"/>
        <v>4549607</v>
      </c>
    </row>
    <row r="29" spans="2:7" s="14" customFormat="1" ht="15" customHeight="1">
      <c r="B29" s="4" t="str">
        <f t="shared" si="3"/>
        <v>Interes minoritario</v>
      </c>
      <c r="C29" s="327">
        <f>-Resultado!F26</f>
        <v>-7432490</v>
      </c>
      <c r="D29" s="327">
        <f>-Resultado!G26</f>
        <v>-11007287</v>
      </c>
      <c r="E29" s="9">
        <f>ROUND(+F29/D29,3)</f>
        <v>-0.32500000000000001</v>
      </c>
      <c r="F29" s="8">
        <f t="shared" si="2"/>
        <v>3574797</v>
      </c>
    </row>
    <row r="30" spans="2:7" s="14" customFormat="1" ht="15" customHeight="1">
      <c r="B30" s="5" t="str">
        <f t="shared" si="3"/>
        <v>Utilidad neta</v>
      </c>
      <c r="C30" s="328">
        <f>SUM(C24:C29)</f>
        <v>7097925</v>
      </c>
      <c r="D30" s="328">
        <f>SUM(D24:D29)</f>
        <v>10468992</v>
      </c>
      <c r="E30" s="11">
        <f>ROUND(+F30/D30,3)</f>
        <v>-0.32200000000000001</v>
      </c>
      <c r="F30" s="10">
        <f t="shared" si="2"/>
        <v>-3371067</v>
      </c>
    </row>
    <row r="31" spans="2:7" s="14" customFormat="1" ht="15" customHeight="1">
      <c r="B31" s="404"/>
      <c r="C31" s="19"/>
      <c r="D31" s="19"/>
    </row>
    <row r="32" spans="2:7" s="14" customFormat="1" ht="15" hidden="1" customHeight="1">
      <c r="B32" s="404">
        <f t="shared" si="3"/>
        <v>0</v>
      </c>
      <c r="C32" s="19"/>
      <c r="D32" s="19"/>
    </row>
    <row r="33" spans="1:7" s="14" customFormat="1" ht="15" hidden="1" customHeight="1">
      <c r="B33" s="404"/>
      <c r="C33" s="19"/>
      <c r="D33" s="19"/>
    </row>
    <row r="34" spans="1:7" s="14" customFormat="1" ht="15" hidden="1" customHeight="1">
      <c r="B34" s="404"/>
      <c r="C34" s="19"/>
      <c r="D34" s="19"/>
    </row>
    <row r="35" spans="1:7" s="14" customFormat="1" ht="15" hidden="1" customHeight="1">
      <c r="B35" s="404"/>
      <c r="C35" s="19"/>
      <c r="D35" s="19"/>
    </row>
    <row r="36" spans="1:7" s="14" customFormat="1" ht="15" hidden="1" customHeight="1">
      <c r="B36" s="404"/>
      <c r="C36" s="19"/>
      <c r="D36" s="19"/>
    </row>
    <row r="37" spans="1:7" s="14" customFormat="1" ht="15" hidden="1" customHeight="1">
      <c r="B37" s="404"/>
      <c r="C37" s="19"/>
      <c r="D37" s="19"/>
    </row>
    <row r="38" spans="1:7" s="14" customFormat="1" ht="15" hidden="1" customHeight="1">
      <c r="B38" s="404"/>
      <c r="C38" s="19"/>
      <c r="D38" s="19"/>
    </row>
    <row r="39" spans="1:7" s="14" customFormat="1" ht="15" hidden="1" customHeight="1">
      <c r="B39" s="404"/>
      <c r="C39" s="19"/>
      <c r="D39" s="19"/>
    </row>
    <row r="40" spans="1:7" s="14" customFormat="1" ht="15" hidden="1" customHeight="1">
      <c r="B40" s="404"/>
      <c r="C40" s="19"/>
      <c r="D40" s="19"/>
    </row>
    <row r="41" spans="1:7" s="14" customFormat="1" ht="15" hidden="1" customHeight="1">
      <c r="B41" s="404"/>
      <c r="C41" s="19"/>
      <c r="D41" s="19"/>
    </row>
    <row r="42" spans="1:7" s="14" customFormat="1" ht="15" hidden="1" customHeight="1">
      <c r="B42" s="404"/>
      <c r="C42" s="19"/>
      <c r="D42" s="19"/>
    </row>
    <row r="43" spans="1:7" s="14" customFormat="1" ht="15" hidden="1" customHeight="1">
      <c r="B43" s="404"/>
      <c r="C43" s="19"/>
      <c r="D43" s="19"/>
    </row>
    <row r="44" spans="1:7" s="14" customFormat="1" ht="15" hidden="1" customHeight="1">
      <c r="B44" s="404"/>
      <c r="C44" s="19"/>
      <c r="D44" s="19"/>
    </row>
    <row r="45" spans="1:7" s="14" customFormat="1" ht="15" customHeight="1">
      <c r="B45" s="404"/>
      <c r="C45" s="19"/>
      <c r="D45" s="19"/>
    </row>
    <row r="46" spans="1:7" s="14" customFormat="1" ht="15" customHeight="1">
      <c r="B46" s="404"/>
      <c r="C46" s="19"/>
      <c r="D46" s="19"/>
    </row>
    <row r="47" spans="1:7" s="14" customFormat="1" ht="15" customHeight="1">
      <c r="B47" s="404"/>
      <c r="C47" s="19"/>
      <c r="D47" s="19"/>
    </row>
    <row r="48" spans="1:7" ht="15" customHeight="1">
      <c r="A48" s="13" t="s">
        <v>196</v>
      </c>
      <c r="B48" s="382"/>
      <c r="C48" s="382"/>
      <c r="E48" s="382"/>
      <c r="G48" s="382"/>
    </row>
    <row r="49" spans="2:20" s="14" customFormat="1" ht="15" customHeight="1">
      <c r="B49" s="383"/>
      <c r="C49" s="384"/>
      <c r="D49" s="384"/>
      <c r="E49" s="385"/>
      <c r="F49" s="492"/>
      <c r="G49" s="384"/>
    </row>
    <row r="50" spans="2:20" s="14" customFormat="1" ht="15" customHeight="1" thickBot="1">
      <c r="B50" s="382"/>
      <c r="C50" s="431">
        <f>+C3</f>
        <v>45565</v>
      </c>
      <c r="D50" s="431"/>
      <c r="E50" s="382"/>
      <c r="F50" s="472">
        <f>+D3</f>
        <v>45199</v>
      </c>
      <c r="G50" s="431"/>
      <c r="H50" s="14" t="s">
        <v>321</v>
      </c>
      <c r="J50" s="7"/>
    </row>
    <row r="51" spans="2:20" s="14" customFormat="1" ht="15" customHeight="1" thickBot="1">
      <c r="B51" s="382"/>
      <c r="C51" s="388" t="s">
        <v>184</v>
      </c>
      <c r="D51" s="530" t="s">
        <v>185</v>
      </c>
      <c r="E51" s="382"/>
      <c r="F51" s="17" t="s">
        <v>184</v>
      </c>
      <c r="G51" s="532" t="s">
        <v>185</v>
      </c>
      <c r="H51" s="7"/>
      <c r="I51" s="529"/>
      <c r="J51" s="529"/>
      <c r="L51" s="369"/>
      <c r="M51" s="447"/>
      <c r="N51" s="525" t="s">
        <v>361</v>
      </c>
      <c r="O51" s="525"/>
      <c r="P51" s="525"/>
      <c r="Q51" s="29"/>
      <c r="R51" s="525" t="s">
        <v>362</v>
      </c>
      <c r="S51" s="525"/>
      <c r="T51" s="29"/>
    </row>
    <row r="52" spans="2:20" s="14" customFormat="1" ht="15" customHeight="1" thickBot="1">
      <c r="B52" s="382"/>
      <c r="C52" s="386" t="s">
        <v>283</v>
      </c>
      <c r="D52" s="531"/>
      <c r="E52" s="382"/>
      <c r="F52" s="6" t="s">
        <v>8</v>
      </c>
      <c r="G52" s="533"/>
      <c r="H52" s="7"/>
      <c r="I52" s="529"/>
      <c r="J52" s="529"/>
      <c r="L52" s="369"/>
      <c r="M52" s="447"/>
      <c r="N52" s="526" t="s">
        <v>184</v>
      </c>
      <c r="O52" s="526"/>
      <c r="P52" s="526" t="s">
        <v>185</v>
      </c>
      <c r="Q52" s="29"/>
      <c r="R52" s="449" t="s">
        <v>184</v>
      </c>
      <c r="S52" s="526" t="s">
        <v>185</v>
      </c>
      <c r="T52" s="29"/>
    </row>
    <row r="53" spans="2:20" s="14" customFormat="1" ht="15" customHeight="1" thickBot="1">
      <c r="B53" s="389" t="s">
        <v>250</v>
      </c>
      <c r="C53" s="390">
        <f>+C93</f>
        <v>196502255</v>
      </c>
      <c r="D53" s="411">
        <f>+C53/$C$57</f>
        <v>0.40680142102034628</v>
      </c>
      <c r="E53" s="490"/>
      <c r="F53" s="18">
        <f>+D93</f>
        <v>192112033</v>
      </c>
      <c r="G53" s="411">
        <f>+F53/$F$57</f>
        <v>0.40424594820741921</v>
      </c>
      <c r="H53" s="7"/>
      <c r="I53" s="8">
        <f>+C53-F53</f>
        <v>4390222</v>
      </c>
      <c r="J53" s="27"/>
      <c r="L53" s="450"/>
      <c r="M53" s="29"/>
      <c r="N53" s="525" t="s">
        <v>283</v>
      </c>
      <c r="O53" s="525"/>
      <c r="P53" s="527"/>
      <c r="Q53" s="29"/>
      <c r="R53" s="326" t="s">
        <v>283</v>
      </c>
      <c r="S53" s="527"/>
      <c r="T53" s="29"/>
    </row>
    <row r="54" spans="2:20" s="14" customFormat="1" ht="15" customHeight="1">
      <c r="B54" s="389" t="s">
        <v>251</v>
      </c>
      <c r="C54" s="390">
        <f t="shared" ref="C54" si="4">+C94</f>
        <v>217408241</v>
      </c>
      <c r="D54" s="411">
        <f t="shared" ref="D54:D56" si="5">+C54/$C$57</f>
        <v>0.45008125418374417</v>
      </c>
      <c r="E54" s="382"/>
      <c r="F54" s="18">
        <f>+D94</f>
        <v>213447688</v>
      </c>
      <c r="G54" s="411">
        <f t="shared" ref="G54:G56" si="6">+F54/$F$57</f>
        <v>0.44914085640976681</v>
      </c>
      <c r="H54" s="7"/>
      <c r="I54" s="8">
        <f>+C54-F54</f>
        <v>3960553</v>
      </c>
      <c r="J54" s="27"/>
      <c r="L54" s="450"/>
      <c r="M54" s="29" t="s">
        <v>250</v>
      </c>
      <c r="N54" s="521">
        <v>255428385</v>
      </c>
      <c r="O54" s="521"/>
      <c r="P54" s="411">
        <v>0.39900000000000002</v>
      </c>
      <c r="Q54" s="55"/>
      <c r="R54" s="18">
        <v>231961337</v>
      </c>
      <c r="S54" s="411">
        <v>0.4</v>
      </c>
      <c r="T54" s="55"/>
    </row>
    <row r="55" spans="2:20" s="14" customFormat="1" ht="15" customHeight="1">
      <c r="B55" s="383" t="s">
        <v>395</v>
      </c>
      <c r="C55" s="390">
        <f>+C96</f>
        <v>19550385</v>
      </c>
      <c r="D55" s="411">
        <f t="shared" si="5"/>
        <v>4.0473451052736586E-2</v>
      </c>
      <c r="E55" s="382"/>
      <c r="F55" s="18">
        <f>+D96</f>
        <v>18536115</v>
      </c>
      <c r="G55" s="411">
        <f t="shared" si="6"/>
        <v>3.9004060637142741E-2</v>
      </c>
      <c r="H55" s="7"/>
      <c r="I55" s="8">
        <f>+C55-F55</f>
        <v>1014270</v>
      </c>
      <c r="J55" s="27"/>
      <c r="L55" s="450"/>
      <c r="M55" s="29" t="s">
        <v>251</v>
      </c>
      <c r="N55" s="522">
        <v>287315456</v>
      </c>
      <c r="O55" s="522"/>
      <c r="P55" s="411">
        <v>0.44800000000000001</v>
      </c>
      <c r="Q55" s="55"/>
      <c r="R55" s="18">
        <v>265582171</v>
      </c>
      <c r="S55" s="411">
        <v>0.45700000000000002</v>
      </c>
      <c r="T55" s="55"/>
    </row>
    <row r="56" spans="2:20" s="14" customFormat="1" ht="15" customHeight="1" thickBot="1">
      <c r="B56" s="389" t="s">
        <v>394</v>
      </c>
      <c r="C56" s="410">
        <f>+C95</f>
        <v>49581323</v>
      </c>
      <c r="D56" s="412">
        <f t="shared" si="5"/>
        <v>0.10264387374317296</v>
      </c>
      <c r="E56" s="382"/>
      <c r="F56" s="18">
        <f>+D95</f>
        <v>51139683</v>
      </c>
      <c r="G56" s="412">
        <f t="shared" si="6"/>
        <v>0.10760913474567123</v>
      </c>
      <c r="H56" s="7"/>
      <c r="I56" s="8">
        <f>+C56-F56</f>
        <v>-1558360</v>
      </c>
      <c r="J56" s="27"/>
      <c r="L56" s="450"/>
      <c r="M56" s="29" t="s">
        <v>394</v>
      </c>
      <c r="N56" s="522">
        <v>25825766</v>
      </c>
      <c r="O56" s="522"/>
      <c r="P56" s="411">
        <v>0.04</v>
      </c>
      <c r="Q56" s="55"/>
      <c r="R56" s="18">
        <v>21070071</v>
      </c>
      <c r="S56" s="411">
        <v>3.5999999999999997E-2</v>
      </c>
      <c r="T56" s="55"/>
    </row>
    <row r="57" spans="2:20" s="14" customFormat="1" ht="15" customHeight="1" thickTop="1" thickBot="1">
      <c r="B57" s="391" t="s">
        <v>186</v>
      </c>
      <c r="C57" s="392">
        <f>SUM(C53:C56)</f>
        <v>483042204</v>
      </c>
      <c r="D57" s="491">
        <f>SUM(D53:D56)</f>
        <v>1</v>
      </c>
      <c r="E57" s="382"/>
      <c r="F57" s="32">
        <f>SUM(F53:F56)</f>
        <v>475235519</v>
      </c>
      <c r="G57" s="491">
        <f>SUM(G53:G56)</f>
        <v>1</v>
      </c>
      <c r="H57" s="7"/>
      <c r="I57" s="26">
        <f>SUM(I53:I56)</f>
        <v>7806685</v>
      </c>
      <c r="J57" s="28"/>
      <c r="L57" s="450"/>
      <c r="M57" s="29" t="s">
        <v>395</v>
      </c>
      <c r="N57" s="523">
        <v>72286247</v>
      </c>
      <c r="O57" s="523"/>
      <c r="P57" s="412">
        <v>0.113</v>
      </c>
      <c r="Q57" s="55"/>
      <c r="R57" s="410">
        <v>61854475</v>
      </c>
      <c r="S57" s="412">
        <v>0.107</v>
      </c>
      <c r="T57" s="55"/>
    </row>
    <row r="58" spans="2:20" s="14" customFormat="1" ht="15" customHeight="1" thickTop="1">
      <c r="B58" s="393"/>
      <c r="C58" s="394"/>
      <c r="D58" s="394"/>
      <c r="E58" s="395"/>
      <c r="F58" s="493"/>
      <c r="G58" s="393"/>
      <c r="I58" s="19"/>
      <c r="L58" s="451"/>
      <c r="M58" s="524" t="s">
        <v>186</v>
      </c>
      <c r="N58" s="524"/>
      <c r="O58" s="32">
        <v>640855854</v>
      </c>
      <c r="P58" s="452">
        <v>1</v>
      </c>
      <c r="Q58" s="419"/>
      <c r="R58" s="32">
        <v>580468054</v>
      </c>
      <c r="S58" s="452">
        <v>1</v>
      </c>
      <c r="T58" s="419"/>
    </row>
    <row r="59" spans="2:20" s="14" customFormat="1" ht="15" customHeight="1" thickBot="1">
      <c r="B59" s="396" t="s">
        <v>261</v>
      </c>
      <c r="C59" s="431">
        <f>+C3</f>
        <v>45565</v>
      </c>
      <c r="D59" s="431">
        <f>+D3</f>
        <v>45199</v>
      </c>
      <c r="E59" s="387" t="s">
        <v>169</v>
      </c>
      <c r="F59" s="7"/>
      <c r="G59" s="387" t="s">
        <v>187</v>
      </c>
      <c r="H59" s="7"/>
    </row>
    <row r="60" spans="2:20" s="14" customFormat="1" ht="15" customHeight="1" thickBot="1">
      <c r="B60" s="397" t="s">
        <v>258</v>
      </c>
      <c r="C60" s="18"/>
      <c r="D60" s="18">
        <v>389807</v>
      </c>
      <c r="E60" s="398">
        <f>ROUND(G60/D60,3)</f>
        <v>-1</v>
      </c>
      <c r="F60" s="7"/>
      <c r="G60" s="399">
        <f>+C60-D60</f>
        <v>-389807</v>
      </c>
      <c r="I60" s="8">
        <f>+C60-F60</f>
        <v>0</v>
      </c>
      <c r="M60" s="396" t="s">
        <v>261</v>
      </c>
      <c r="N60" s="505">
        <f>+N36</f>
        <v>0</v>
      </c>
      <c r="O60" s="505">
        <f>+O36</f>
        <v>0</v>
      </c>
      <c r="P60" s="505" t="s">
        <v>169</v>
      </c>
      <c r="Q60" s="453"/>
      <c r="R60" s="326" t="s">
        <v>187</v>
      </c>
    </row>
    <row r="61" spans="2:20" s="14" customFormat="1" ht="15" customHeight="1">
      <c r="B61" s="397" t="s">
        <v>259</v>
      </c>
      <c r="C61" s="18"/>
      <c r="D61" s="18">
        <v>374096</v>
      </c>
      <c r="E61" s="398">
        <f>ROUND(G61/D61,3)</f>
        <v>-1</v>
      </c>
      <c r="F61" s="7"/>
      <c r="G61" s="399">
        <f>+C61-D61</f>
        <v>-374096</v>
      </c>
      <c r="I61" s="8">
        <f>+C61-F61</f>
        <v>0</v>
      </c>
      <c r="M61" s="397" t="s">
        <v>258</v>
      </c>
      <c r="N61" s="390">
        <v>273979</v>
      </c>
      <c r="O61" s="390">
        <v>273075</v>
      </c>
      <c r="P61" s="398">
        <f t="shared" ref="P61:P64" si="7">ROUND(R61/O61,3)</f>
        <v>6.0000000000000001E-3</v>
      </c>
      <c r="Q61" s="55"/>
      <c r="R61" s="454">
        <v>1673</v>
      </c>
    </row>
    <row r="62" spans="2:20" s="14" customFormat="1" ht="15" customHeight="1">
      <c r="B62" s="397" t="s">
        <v>260</v>
      </c>
      <c r="C62" s="18"/>
      <c r="D62" s="18">
        <v>322265</v>
      </c>
      <c r="E62" s="398">
        <f>ROUND(G62/D62,3)</f>
        <v>-1</v>
      </c>
      <c r="F62" s="7"/>
      <c r="G62" s="399">
        <f>+C62-D62</f>
        <v>-322265</v>
      </c>
      <c r="I62" s="8">
        <f>+C62-F62</f>
        <v>0</v>
      </c>
      <c r="M62" s="397" t="s">
        <v>259</v>
      </c>
      <c r="N62" s="390">
        <v>260973</v>
      </c>
      <c r="O62" s="390">
        <v>260530</v>
      </c>
      <c r="P62" s="398">
        <f t="shared" si="7"/>
        <v>3.0000000000000001E-3</v>
      </c>
      <c r="Q62" s="55"/>
      <c r="R62" s="455">
        <v>860</v>
      </c>
    </row>
    <row r="63" spans="2:20" ht="15" customHeight="1">
      <c r="B63" s="397" t="s">
        <v>218</v>
      </c>
      <c r="C63" s="18"/>
      <c r="D63" s="18">
        <v>90522</v>
      </c>
      <c r="E63" s="398">
        <f>ROUND(G63/D63,3)</f>
        <v>-1</v>
      </c>
      <c r="F63" s="21"/>
      <c r="G63" s="399">
        <f>+C63-D63</f>
        <v>-90522</v>
      </c>
      <c r="I63" s="8">
        <f>+C63-F63</f>
        <v>0</v>
      </c>
      <c r="M63" s="397" t="s">
        <v>260</v>
      </c>
      <c r="N63" s="390">
        <v>222296</v>
      </c>
      <c r="O63" s="390">
        <v>221708</v>
      </c>
      <c r="P63" s="398">
        <f t="shared" si="7"/>
        <v>4.0000000000000001E-3</v>
      </c>
      <c r="Q63" s="55"/>
      <c r="R63" s="455">
        <v>940</v>
      </c>
    </row>
    <row r="64" spans="2:20" ht="15" customHeight="1">
      <c r="B64" s="382"/>
      <c r="C64" s="400"/>
      <c r="D64" s="400"/>
      <c r="E64" s="382"/>
      <c r="G64" s="382"/>
      <c r="I64" s="8">
        <f>+C64-F64</f>
        <v>0</v>
      </c>
      <c r="M64" s="397" t="s">
        <v>218</v>
      </c>
      <c r="N64" s="390">
        <v>65548</v>
      </c>
      <c r="O64" s="390">
        <v>66220</v>
      </c>
      <c r="P64" s="398">
        <f t="shared" si="7"/>
        <v>-2.3E-2</v>
      </c>
      <c r="Q64" s="55"/>
      <c r="R64" s="454">
        <v>-1516</v>
      </c>
    </row>
    <row r="65" spans="2:18" ht="15" customHeight="1" thickBot="1">
      <c r="B65" s="401" t="s">
        <v>188</v>
      </c>
      <c r="C65" s="431">
        <f>+C59</f>
        <v>45565</v>
      </c>
      <c r="D65" s="431">
        <f>+D59</f>
        <v>45199</v>
      </c>
      <c r="E65" s="387" t="s">
        <v>169</v>
      </c>
      <c r="G65" s="387" t="s">
        <v>187</v>
      </c>
      <c r="I65" s="8"/>
      <c r="M65" s="453"/>
      <c r="N65" s="453"/>
      <c r="O65" s="453"/>
      <c r="P65" s="453"/>
      <c r="Q65" s="453"/>
      <c r="R65" s="453"/>
    </row>
    <row r="66" spans="2:18" ht="15" customHeight="1" thickBot="1">
      <c r="B66" s="397" t="s">
        <v>258</v>
      </c>
      <c r="C66" s="390"/>
      <c r="D66" s="390">
        <v>2296728</v>
      </c>
      <c r="E66" s="398">
        <f>ROUND(G66/D66,3)</f>
        <v>-1</v>
      </c>
      <c r="G66" s="399">
        <f>+C66-D66</f>
        <v>-2296728</v>
      </c>
      <c r="I66" s="8">
        <f>+C66-F66</f>
        <v>0</v>
      </c>
      <c r="M66" s="506" t="s">
        <v>188</v>
      </c>
      <c r="N66" s="505">
        <f>+N60</f>
        <v>0</v>
      </c>
      <c r="O66" s="505">
        <f>+O60</f>
        <v>0</v>
      </c>
      <c r="P66" s="505" t="s">
        <v>169</v>
      </c>
      <c r="Q66" s="453"/>
      <c r="R66" s="326" t="s">
        <v>187</v>
      </c>
    </row>
    <row r="67" spans="2:18" ht="15" customHeight="1">
      <c r="B67" s="397" t="s">
        <v>259</v>
      </c>
      <c r="C67" s="390"/>
      <c r="D67" s="390">
        <v>2251965</v>
      </c>
      <c r="E67" s="398">
        <f>ROUND(G67/D67,3)</f>
        <v>-1</v>
      </c>
      <c r="G67" s="399">
        <f>+C67-D67</f>
        <v>-2251965</v>
      </c>
      <c r="I67" s="8">
        <f>+C67-F67</f>
        <v>0</v>
      </c>
      <c r="M67" s="397" t="s">
        <v>258</v>
      </c>
      <c r="N67" s="390">
        <v>2325762</v>
      </c>
      <c r="O67" s="390">
        <v>2283675</v>
      </c>
      <c r="P67" s="398">
        <f>ROUND(R67/O67,3)</f>
        <v>2.1000000000000001E-2</v>
      </c>
      <c r="Q67" s="55"/>
      <c r="R67" s="454">
        <v>48987</v>
      </c>
    </row>
    <row r="68" spans="2:18" ht="15" customHeight="1">
      <c r="B68" s="382"/>
      <c r="C68" s="382"/>
      <c r="D68" s="382"/>
      <c r="E68" s="382"/>
      <c r="G68" s="382"/>
      <c r="M68" s="397" t="s">
        <v>259</v>
      </c>
      <c r="N68" s="390">
        <v>2280975</v>
      </c>
      <c r="O68" s="390">
        <v>2238870</v>
      </c>
      <c r="P68" s="398">
        <f>ROUND(R68/O68,3)</f>
        <v>2.1999999999999999E-2</v>
      </c>
      <c r="Q68" s="55"/>
      <c r="R68" s="454">
        <v>48817</v>
      </c>
    </row>
    <row r="69" spans="2:18" ht="15" customHeight="1">
      <c r="B69" s="402" t="s">
        <v>197</v>
      </c>
      <c r="C69" s="382"/>
      <c r="D69" s="382"/>
      <c r="E69" s="382"/>
      <c r="G69" s="382"/>
    </row>
    <row r="70" spans="2:18" ht="15" customHeight="1">
      <c r="B70" s="402"/>
      <c r="C70" s="382"/>
      <c r="D70" s="382"/>
      <c r="E70" s="382"/>
      <c r="G70" s="382"/>
    </row>
    <row r="71" spans="2:18" ht="13.5" thickBot="1">
      <c r="B71" s="405" t="s">
        <v>338</v>
      </c>
      <c r="C71" s="431">
        <f>+C65</f>
        <v>45565</v>
      </c>
      <c r="D71" s="431">
        <f>+D65</f>
        <v>45199</v>
      </c>
      <c r="E71" s="387" t="str">
        <f>+E65</f>
        <v>% Var.</v>
      </c>
      <c r="G71" s="382"/>
    </row>
    <row r="72" spans="2:18" ht="13.5" thickBot="1">
      <c r="B72" s="389" t="s">
        <v>163</v>
      </c>
      <c r="C72" s="18"/>
      <c r="D72" s="18">
        <v>16391156</v>
      </c>
      <c r="E72" s="398">
        <f>ROUND(+J72/D72,3)</f>
        <v>-1</v>
      </c>
      <c r="G72" s="382"/>
      <c r="J72" s="399">
        <f>+C72-D72</f>
        <v>-16391156</v>
      </c>
      <c r="K72" s="25"/>
      <c r="M72" s="506" t="s">
        <v>429</v>
      </c>
      <c r="N72" s="505">
        <f>+N66</f>
        <v>0</v>
      </c>
      <c r="O72" s="505">
        <f>+O66</f>
        <v>0</v>
      </c>
      <c r="P72" s="505" t="str">
        <f>+P66</f>
        <v>% Var.</v>
      </c>
    </row>
    <row r="73" spans="2:18" ht="12.75">
      <c r="B73" s="389" t="s">
        <v>315</v>
      </c>
      <c r="C73" s="18"/>
      <c r="D73" s="18">
        <v>2600114</v>
      </c>
      <c r="E73" s="398">
        <f>ROUND(+J73/D73,3)</f>
        <v>-1</v>
      </c>
      <c r="G73" s="382"/>
      <c r="J73" s="399">
        <f>+C73-D73</f>
        <v>-2600114</v>
      </c>
      <c r="K73" s="25"/>
      <c r="M73" s="389" t="s">
        <v>163</v>
      </c>
      <c r="N73" s="18">
        <v>11284766</v>
      </c>
      <c r="O73" s="18">
        <v>11030639</v>
      </c>
      <c r="P73" s="398">
        <f>ROUND(+N73/O73,3)-1</f>
        <v>2.2999999999999909E-2</v>
      </c>
    </row>
    <row r="74" spans="2:18" ht="12.75">
      <c r="B74" s="389" t="s">
        <v>277</v>
      </c>
      <c r="C74" s="18"/>
      <c r="D74" s="18">
        <v>6853188</v>
      </c>
      <c r="E74" s="398">
        <f>ROUND(+J74/D74,3)</f>
        <v>-1</v>
      </c>
      <c r="G74" s="382"/>
      <c r="J74" s="399">
        <f>+C74-D74</f>
        <v>-6853188</v>
      </c>
      <c r="K74" s="25"/>
      <c r="M74" s="389" t="s">
        <v>315</v>
      </c>
      <c r="N74" s="18">
        <v>4944203</v>
      </c>
      <c r="O74" s="18">
        <v>4323253</v>
      </c>
      <c r="P74" s="398">
        <f>ROUND(+N74/O74,3)-1</f>
        <v>0.14399999999999991</v>
      </c>
    </row>
    <row r="75" spans="2:18" ht="12.75">
      <c r="B75" s="389" t="s">
        <v>164</v>
      </c>
      <c r="C75" s="18"/>
      <c r="D75" s="18">
        <v>6853188</v>
      </c>
      <c r="E75" s="398">
        <f>ROUND(+J75/D75,3)</f>
        <v>-1</v>
      </c>
      <c r="G75" s="382"/>
      <c r="J75" s="399">
        <f>+C75-D75</f>
        <v>-6853188</v>
      </c>
      <c r="K75" s="25"/>
      <c r="M75" s="389" t="s">
        <v>277</v>
      </c>
      <c r="N75" s="18">
        <v>1622869</v>
      </c>
      <c r="O75" s="18">
        <v>2198270</v>
      </c>
      <c r="P75" s="398">
        <f>ROUND(+N75/O75,3)-1</f>
        <v>-0.26200000000000001</v>
      </c>
    </row>
    <row r="76" spans="2:18" ht="12.75">
      <c r="B76" s="391" t="s">
        <v>89</v>
      </c>
      <c r="C76" s="32">
        <v>0</v>
      </c>
      <c r="D76" s="32">
        <v>32697646</v>
      </c>
      <c r="E76" s="403">
        <f>ROUND(+J76/D76,3)</f>
        <v>-1</v>
      </c>
      <c r="G76" s="382"/>
      <c r="J76" s="399">
        <f>+C76-D76</f>
        <v>-32697646</v>
      </c>
      <c r="K76" s="25"/>
      <c r="M76" s="389" t="s">
        <v>430</v>
      </c>
      <c r="N76" s="18">
        <v>1842604</v>
      </c>
      <c r="O76" s="18">
        <v>1262922</v>
      </c>
      <c r="P76" s="398">
        <f>ROUND(+N76/O76,3)-1</f>
        <v>0.45900000000000007</v>
      </c>
    </row>
    <row r="77" spans="2:18" ht="15" customHeight="1">
      <c r="C77" s="23"/>
      <c r="D77" s="23"/>
      <c r="M77" s="391" t="s">
        <v>89</v>
      </c>
      <c r="N77" s="392">
        <f>SUM(N73:N76)</f>
        <v>19694442</v>
      </c>
      <c r="O77" s="392">
        <f>SUM(O73:O76)</f>
        <v>18815084</v>
      </c>
      <c r="P77" s="403">
        <f>ROUND(+N77/O77,3)-1</f>
        <v>4.6999999999999931E-2</v>
      </c>
    </row>
    <row r="78" spans="2:18" ht="15" customHeight="1">
      <c r="C78" s="22"/>
      <c r="D78" s="22"/>
      <c r="G78" s="22"/>
    </row>
    <row r="80" spans="2:18" ht="15" customHeight="1">
      <c r="C80"/>
    </row>
    <row r="81" spans="2:10" ht="15" customHeight="1">
      <c r="J81" s="399"/>
    </row>
    <row r="82" spans="2:10" ht="15" customHeight="1">
      <c r="B82" s="4"/>
      <c r="C82" s="24"/>
    </row>
    <row r="83" spans="2:10" ht="15" customHeight="1">
      <c r="B83" s="4"/>
      <c r="C83" s="24"/>
    </row>
    <row r="84" spans="2:10" ht="15" customHeight="1">
      <c r="B84" s="4"/>
      <c r="C84" s="24"/>
    </row>
    <row r="90" spans="2:10" ht="24.75" customHeight="1">
      <c r="B90" s="528" t="s">
        <v>405</v>
      </c>
      <c r="C90" s="513">
        <v>45565</v>
      </c>
      <c r="D90" s="513">
        <v>45199</v>
      </c>
      <c r="E90" s="489" t="s">
        <v>455</v>
      </c>
      <c r="F90" s="489" t="s">
        <v>456</v>
      </c>
    </row>
    <row r="91" spans="2:10" ht="15" customHeight="1">
      <c r="B91" s="528"/>
      <c r="C91" s="514" t="s">
        <v>8</v>
      </c>
      <c r="D91" s="515" t="s">
        <v>8</v>
      </c>
      <c r="E91" s="514" t="s">
        <v>8</v>
      </c>
      <c r="F91" s="514" t="s">
        <v>8</v>
      </c>
    </row>
    <row r="92" spans="2:10" ht="15" customHeight="1">
      <c r="B92" s="495" t="s">
        <v>165</v>
      </c>
      <c r="C92" s="496"/>
      <c r="D92" s="496"/>
      <c r="E92" s="496"/>
      <c r="F92" s="496"/>
    </row>
    <row r="93" spans="2:10" ht="15" customHeight="1">
      <c r="B93" s="497" t="s">
        <v>406</v>
      </c>
      <c r="C93" s="498">
        <v>196502255</v>
      </c>
      <c r="D93" s="498">
        <v>192112033</v>
      </c>
      <c r="E93" s="498">
        <v>54083403</v>
      </c>
      <c r="F93" s="498">
        <v>52395055</v>
      </c>
    </row>
    <row r="94" spans="2:10" ht="15" customHeight="1">
      <c r="B94" s="497" t="s">
        <v>407</v>
      </c>
      <c r="C94" s="498">
        <v>217408241</v>
      </c>
      <c r="D94" s="516">
        <v>213447688</v>
      </c>
      <c r="E94" s="516">
        <v>66849842</v>
      </c>
      <c r="F94" s="516">
        <v>64919698</v>
      </c>
    </row>
    <row r="95" spans="2:10" ht="15" customHeight="1">
      <c r="B95" s="497" t="s">
        <v>395</v>
      </c>
      <c r="C95" s="498">
        <v>49581323</v>
      </c>
      <c r="D95" s="516">
        <v>51139683</v>
      </c>
      <c r="E95" s="516">
        <v>16194041</v>
      </c>
      <c r="F95" s="516">
        <v>14950932</v>
      </c>
    </row>
    <row r="96" spans="2:10" ht="15" customHeight="1">
      <c r="B96" s="499" t="s">
        <v>408</v>
      </c>
      <c r="C96" s="500">
        <v>19550385</v>
      </c>
      <c r="D96" s="500">
        <v>18536115</v>
      </c>
      <c r="E96" s="500">
        <v>6228308</v>
      </c>
      <c r="F96" s="500">
        <v>6160564</v>
      </c>
    </row>
    <row r="97" spans="2:6" ht="15" customHeight="1">
      <c r="B97" s="501" t="s">
        <v>199</v>
      </c>
      <c r="C97" s="502">
        <f>+SUM(C93:C96)</f>
        <v>483042204</v>
      </c>
      <c r="D97" s="502">
        <f>+SUM(D93:D96)</f>
        <v>475235519</v>
      </c>
      <c r="E97" s="502">
        <f>+SUM(E93:E96)</f>
        <v>143355594</v>
      </c>
      <c r="F97" s="502">
        <f>+SUM(F93:F96)</f>
        <v>138426249</v>
      </c>
    </row>
  </sheetData>
  <mergeCells count="16">
    <mergeCell ref="B90:B91"/>
    <mergeCell ref="J51:J52"/>
    <mergeCell ref="D51:D52"/>
    <mergeCell ref="G51:G52"/>
    <mergeCell ref="I51:I52"/>
    <mergeCell ref="N51:P51"/>
    <mergeCell ref="R51:S51"/>
    <mergeCell ref="N52:O52"/>
    <mergeCell ref="P52:P53"/>
    <mergeCell ref="S52:S53"/>
    <mergeCell ref="N53:O53"/>
    <mergeCell ref="N54:O54"/>
    <mergeCell ref="N55:O55"/>
    <mergeCell ref="N56:O56"/>
    <mergeCell ref="N57:O57"/>
    <mergeCell ref="M58:N5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C000"/>
  </sheetPr>
  <dimension ref="B1:N31"/>
  <sheetViews>
    <sheetView showGridLines="0" workbookViewId="0">
      <selection activeCell="F7" sqref="F7"/>
    </sheetView>
  </sheetViews>
  <sheetFormatPr baseColWidth="10" defaultColWidth="11.42578125" defaultRowHeight="12.75"/>
  <cols>
    <col min="1" max="1" width="11.42578125" style="7"/>
    <col min="2" max="2" width="25.28515625" style="7" bestFit="1" customWidth="1"/>
    <col min="3" max="4" width="12" style="7" bestFit="1" customWidth="1"/>
    <col min="5" max="5" width="6.85546875" style="7" customWidth="1"/>
    <col min="6" max="6" width="11.42578125" style="7"/>
    <col min="7" max="7" width="5.140625" style="7" customWidth="1"/>
    <col min="8" max="10" width="11.42578125" style="7"/>
    <col min="11" max="11" width="68.28515625" style="7" bestFit="1" customWidth="1"/>
    <col min="12" max="12" width="12.28515625" style="7" bestFit="1" customWidth="1"/>
    <col min="13" max="16384" width="11.42578125" style="7"/>
  </cols>
  <sheetData>
    <row r="1" spans="2:14">
      <c r="B1" s="12" t="s">
        <v>246</v>
      </c>
    </row>
    <row r="3" spans="2:14" ht="13.5" thickBot="1">
      <c r="B3" s="53" t="s">
        <v>454</v>
      </c>
      <c r="C3" s="430">
        <f>+Resultados!C3</f>
        <v>45565</v>
      </c>
      <c r="D3" s="430">
        <f>+Resultados!D3</f>
        <v>45199</v>
      </c>
      <c r="E3" s="430"/>
      <c r="F3" s="6" t="s">
        <v>169</v>
      </c>
      <c r="H3" s="6" t="str">
        <f>+Resultados!F3</f>
        <v>2024 / 2023</v>
      </c>
    </row>
    <row r="4" spans="2:14">
      <c r="B4" s="29" t="s">
        <v>262</v>
      </c>
      <c r="C4" s="18">
        <f>+'[2]N30 Segmentos'!C6</f>
        <v>453022525</v>
      </c>
      <c r="D4" s="18">
        <f>+'[2]N30 Segmentos'!E6</f>
        <v>447420641</v>
      </c>
      <c r="F4" s="9">
        <f t="shared" ref="F4:F14" si="0">ROUND(+H4/D4,3)</f>
        <v>1.2999999999999999E-2</v>
      </c>
      <c r="H4" s="8">
        <f t="shared" ref="H4:H14" si="1">+C4-D4</f>
        <v>5601884</v>
      </c>
      <c r="K4" s="512"/>
      <c r="L4" s="31"/>
      <c r="M4" s="31"/>
      <c r="N4" s="31"/>
    </row>
    <row r="5" spans="2:14">
      <c r="B5" s="29" t="s">
        <v>263</v>
      </c>
      <c r="C5" s="18">
        <f>+'[2]N30 Segmentos'!C7</f>
        <v>1135131</v>
      </c>
      <c r="D5" s="18">
        <f>+'[2]N30 Segmentos'!E7</f>
        <v>1149724</v>
      </c>
      <c r="F5" s="9">
        <f t="shared" si="0"/>
        <v>-1.2999999999999999E-2</v>
      </c>
      <c r="G5" s="21"/>
      <c r="H5" s="8">
        <f t="shared" si="1"/>
        <v>-14593</v>
      </c>
      <c r="K5" s="512"/>
      <c r="L5" s="31"/>
      <c r="M5" s="31"/>
      <c r="N5" s="31"/>
    </row>
    <row r="6" spans="2:14">
      <c r="B6" s="29" t="s">
        <v>253</v>
      </c>
      <c r="C6" s="8">
        <f>+'[2]N30 Segmentos'!C9+'[2]N30 Segmentos'!C10+'[2]N30 Segmentos'!C11+'[2]N30 Segmentos'!C16</f>
        <v>-226507623</v>
      </c>
      <c r="D6" s="8">
        <f>+'[2]N30 Segmentos'!E9+'[2]N30 Segmentos'!E10+'[2]N30 Segmentos'!E11+'[2]N30 Segmentos'!E16</f>
        <v>-221401332</v>
      </c>
      <c r="F6" s="9">
        <f t="shared" si="0"/>
        <v>2.3E-2</v>
      </c>
      <c r="H6" s="8">
        <f t="shared" si="1"/>
        <v>-5106291</v>
      </c>
      <c r="K6" s="512"/>
      <c r="L6" s="31"/>
      <c r="M6" s="31"/>
      <c r="N6" s="31"/>
    </row>
    <row r="7" spans="2:14" s="12" customFormat="1">
      <c r="B7" s="54" t="s">
        <v>179</v>
      </c>
      <c r="C7" s="328">
        <f>+SUM(C4:C6)</f>
        <v>227650033</v>
      </c>
      <c r="D7" s="328">
        <f>+SUM(D4:D6)</f>
        <v>227169033</v>
      </c>
      <c r="F7" s="11">
        <f t="shared" si="0"/>
        <v>2E-3</v>
      </c>
      <c r="H7" s="10">
        <f t="shared" si="1"/>
        <v>481000</v>
      </c>
      <c r="K7" s="512"/>
      <c r="L7" s="33"/>
      <c r="M7" s="33"/>
      <c r="N7" s="33"/>
    </row>
    <row r="8" spans="2:14">
      <c r="B8" s="29" t="s">
        <v>62</v>
      </c>
      <c r="C8" s="8">
        <f>+'[2]N30 Segmentos'!C12</f>
        <v>-58984360</v>
      </c>
      <c r="D8" s="8">
        <f>+'[2]N30 Segmentos'!E12</f>
        <v>-54836791</v>
      </c>
      <c r="F8" s="9">
        <f t="shared" si="0"/>
        <v>7.5999999999999998E-2</v>
      </c>
      <c r="H8" s="8">
        <f t="shared" si="1"/>
        <v>-4147569</v>
      </c>
      <c r="K8" s="512"/>
      <c r="L8" s="31"/>
      <c r="M8" s="31"/>
      <c r="N8" s="31"/>
    </row>
    <row r="9" spans="2:14" s="12" customFormat="1">
      <c r="B9" s="54" t="s">
        <v>254</v>
      </c>
      <c r="C9" s="328">
        <f>+C7+C8</f>
        <v>168665673</v>
      </c>
      <c r="D9" s="328">
        <f>+D7+D8</f>
        <v>172332242</v>
      </c>
      <c r="F9" s="11">
        <f t="shared" si="0"/>
        <v>-2.1000000000000001E-2</v>
      </c>
      <c r="H9" s="10">
        <f t="shared" si="1"/>
        <v>-3666569</v>
      </c>
      <c r="K9" s="512"/>
      <c r="L9" s="33"/>
      <c r="M9" s="33"/>
      <c r="N9" s="33"/>
    </row>
    <row r="10" spans="2:14">
      <c r="B10" s="29" t="s">
        <v>264</v>
      </c>
      <c r="C10" s="8">
        <f>+'[2]N30 Segmentos'!C13</f>
        <v>1587533</v>
      </c>
      <c r="D10" s="8">
        <f>+'[2]N30 Segmentos'!E13</f>
        <v>-1539315</v>
      </c>
      <c r="F10" s="9">
        <v>-2</v>
      </c>
      <c r="G10" s="21"/>
      <c r="H10" s="8">
        <f t="shared" si="1"/>
        <v>3126848</v>
      </c>
      <c r="K10" s="512"/>
      <c r="L10" s="31"/>
      <c r="M10" s="31"/>
      <c r="N10" s="31"/>
    </row>
    <row r="11" spans="2:14">
      <c r="B11" s="29" t="s">
        <v>256</v>
      </c>
      <c r="C11" s="8">
        <f>+'[2]N30 Segmentos'!C14+'[2]N30 Segmentos'!C15+'[2]N30 Segmentos'!C17</f>
        <v>-60626237</v>
      </c>
      <c r="D11" s="8">
        <f>+'[2]N30 Segmentos'!E14+'[2]N30 Segmentos'!E15+'[2]N30 Segmentos'!E17</f>
        <v>-53221925</v>
      </c>
      <c r="F11" s="9">
        <f t="shared" si="0"/>
        <v>0.13900000000000001</v>
      </c>
      <c r="H11" s="8">
        <f t="shared" si="1"/>
        <v>-7404312</v>
      </c>
      <c r="K11" s="512"/>
      <c r="L11" s="31"/>
      <c r="M11" s="31"/>
      <c r="N11" s="31"/>
    </row>
    <row r="12" spans="2:14">
      <c r="B12" s="29" t="s">
        <v>217</v>
      </c>
      <c r="C12" s="8">
        <f>+'[2]N30 Segmentos'!C19</f>
        <v>-22937804</v>
      </c>
      <c r="D12" s="8">
        <f>+'[2]N30 Segmentos'!E19</f>
        <v>-24224075</v>
      </c>
      <c r="F12" s="9">
        <f t="shared" si="0"/>
        <v>-5.2999999999999999E-2</v>
      </c>
      <c r="H12" s="8">
        <f t="shared" si="1"/>
        <v>1286271</v>
      </c>
      <c r="K12" s="512"/>
      <c r="L12" s="31"/>
      <c r="M12" s="31"/>
      <c r="N12" s="31"/>
    </row>
    <row r="13" spans="2:14">
      <c r="B13" s="29" t="s">
        <v>313</v>
      </c>
      <c r="C13" s="8">
        <f>-'[2]N30 Segmentos'!C22</f>
        <v>-1443</v>
      </c>
      <c r="D13" s="8">
        <f>-'[2]N30 Segmentos'!E22</f>
        <v>-1249</v>
      </c>
      <c r="F13" s="9">
        <f t="shared" si="0"/>
        <v>0.155</v>
      </c>
      <c r="H13" s="8">
        <f t="shared" si="1"/>
        <v>-194</v>
      </c>
      <c r="K13" s="512"/>
      <c r="L13" s="31"/>
      <c r="M13" s="31"/>
      <c r="N13" s="31"/>
    </row>
    <row r="14" spans="2:14" s="12" customFormat="1">
      <c r="B14" s="54" t="s">
        <v>257</v>
      </c>
      <c r="C14" s="328">
        <f>SUM(C9:C13)</f>
        <v>86687722</v>
      </c>
      <c r="D14" s="328">
        <f>SUM(D9:D13)</f>
        <v>93345678</v>
      </c>
      <c r="F14" s="11">
        <f t="shared" si="0"/>
        <v>-7.0999999999999994E-2</v>
      </c>
      <c r="H14" s="10">
        <f t="shared" si="1"/>
        <v>-6657956</v>
      </c>
      <c r="K14" s="512"/>
      <c r="L14" s="33"/>
      <c r="M14" s="33"/>
      <c r="N14" s="33"/>
    </row>
    <row r="15" spans="2:14">
      <c r="C15" s="281"/>
      <c r="D15" s="281"/>
      <c r="E15" s="281"/>
      <c r="K15" s="30"/>
      <c r="N15" s="31"/>
    </row>
    <row r="16" spans="2:14">
      <c r="C16" s="31"/>
      <c r="D16" s="31"/>
      <c r="E16" s="31"/>
      <c r="K16" s="30"/>
    </row>
    <row r="17" spans="2:11">
      <c r="B17" s="12" t="s">
        <v>247</v>
      </c>
      <c r="K17" s="30"/>
    </row>
    <row r="18" spans="2:11">
      <c r="K18" s="30"/>
    </row>
    <row r="19" spans="2:11" ht="13.5" thickBot="1">
      <c r="B19" s="53" t="s">
        <v>454</v>
      </c>
      <c r="C19" s="430">
        <f>+C3</f>
        <v>45565</v>
      </c>
      <c r="D19" s="430">
        <f>+D3</f>
        <v>45199</v>
      </c>
      <c r="E19" s="430"/>
      <c r="F19" s="6" t="s">
        <v>169</v>
      </c>
      <c r="H19" s="6" t="str">
        <f>+H3</f>
        <v>2024 / 2023</v>
      </c>
    </row>
    <row r="20" spans="2:11">
      <c r="B20" s="29" t="s">
        <v>262</v>
      </c>
      <c r="C20" s="18">
        <f>+'[2]N30 Segmentos'!D6</f>
        <v>30019679</v>
      </c>
      <c r="D20" s="18">
        <f>+'[2]N30 Segmentos'!F6</f>
        <v>27814878</v>
      </c>
      <c r="E20" s="8"/>
      <c r="F20" s="9">
        <f t="shared" ref="F20:F28" si="2">ROUND(+H20/D20,3)</f>
        <v>7.9000000000000001E-2</v>
      </c>
      <c r="G20" s="8"/>
      <c r="H20" s="10">
        <f>+C20-D20</f>
        <v>2204801</v>
      </c>
    </row>
    <row r="21" spans="2:11">
      <c r="B21" s="29" t="s">
        <v>263</v>
      </c>
      <c r="C21" s="18">
        <f>+'[2]N30 Segmentos'!D7</f>
        <v>9839174</v>
      </c>
      <c r="D21" s="18">
        <f>+'[2]N30 Segmentos'!F7</f>
        <v>8441921</v>
      </c>
      <c r="E21" s="8"/>
      <c r="F21" s="9">
        <f t="shared" si="2"/>
        <v>0.16600000000000001</v>
      </c>
      <c r="G21" s="8"/>
      <c r="H21" s="10">
        <f t="shared" ref="H21:H28" si="3">+C21-D21</f>
        <v>1397253</v>
      </c>
    </row>
    <row r="22" spans="2:11">
      <c r="B22" s="29" t="s">
        <v>253</v>
      </c>
      <c r="C22" s="8">
        <f>+'[2]N30 Segmentos'!D9+'[2]N30 Segmentos'!D10+'[2]N30 Segmentos'!D11+'[2]N30 Segmentos'!D16</f>
        <v>-32474693</v>
      </c>
      <c r="D22" s="8">
        <f>+'[2]N30 Segmentos'!F9+'[2]N30 Segmentos'!F10+'[2]N30 Segmentos'!F11+'[2]N30 Segmentos'!F16</f>
        <v>-29716167</v>
      </c>
      <c r="E22" s="8"/>
      <c r="F22" s="9">
        <f t="shared" si="2"/>
        <v>9.2999999999999999E-2</v>
      </c>
      <c r="G22" s="8"/>
      <c r="H22" s="10">
        <f t="shared" si="3"/>
        <v>-2758526</v>
      </c>
    </row>
    <row r="23" spans="2:11">
      <c r="B23" s="54" t="s">
        <v>179</v>
      </c>
      <c r="C23" s="328">
        <f>+SUM(C20:C22)</f>
        <v>7384160</v>
      </c>
      <c r="D23" s="328">
        <f>+SUM(D20:D22)</f>
        <v>6540632</v>
      </c>
      <c r="E23" s="10"/>
      <c r="F23" s="9">
        <f t="shared" si="2"/>
        <v>0.129</v>
      </c>
      <c r="G23" s="10"/>
      <c r="H23" s="10">
        <f t="shared" si="3"/>
        <v>843528</v>
      </c>
    </row>
    <row r="24" spans="2:11">
      <c r="B24" s="29" t="s">
        <v>62</v>
      </c>
      <c r="C24" s="8">
        <f>+'[2]N30 Segmentos'!D12</f>
        <v>-1814289</v>
      </c>
      <c r="D24" s="8">
        <f>+'[2]N30 Segmentos'!F12</f>
        <v>-1731402</v>
      </c>
      <c r="E24" s="8"/>
      <c r="F24" s="9">
        <f t="shared" si="2"/>
        <v>4.8000000000000001E-2</v>
      </c>
      <c r="G24" s="8"/>
      <c r="H24" s="10">
        <f t="shared" si="3"/>
        <v>-82887</v>
      </c>
      <c r="J24" s="8"/>
    </row>
    <row r="25" spans="2:11">
      <c r="B25" s="54" t="s">
        <v>254</v>
      </c>
      <c r="C25" s="328">
        <f>+C23+C24</f>
        <v>5569871</v>
      </c>
      <c r="D25" s="328">
        <f>+D23+D24</f>
        <v>4809230</v>
      </c>
      <c r="E25" s="10"/>
      <c r="F25" s="9">
        <f t="shared" si="2"/>
        <v>0.158</v>
      </c>
      <c r="G25" s="10"/>
      <c r="H25" s="10">
        <f t="shared" si="3"/>
        <v>760641</v>
      </c>
    </row>
    <row r="26" spans="2:11">
      <c r="B26" s="29" t="s">
        <v>264</v>
      </c>
      <c r="C26" s="8">
        <f>+'[2]N30 Segmentos'!D13</f>
        <v>649560</v>
      </c>
      <c r="D26" s="8">
        <f>+'[2]N30 Segmentos'!F13</f>
        <v>-234809</v>
      </c>
      <c r="E26" s="8"/>
      <c r="F26" s="9">
        <f t="shared" si="2"/>
        <v>-3.766</v>
      </c>
      <c r="G26" s="8"/>
      <c r="H26" s="10">
        <f t="shared" si="3"/>
        <v>884369</v>
      </c>
    </row>
    <row r="27" spans="2:11">
      <c r="B27" s="29" t="s">
        <v>256</v>
      </c>
      <c r="C27" s="8">
        <f>+'[2]N30 Segmentos'!D14+'[2]N30 Segmentos'!D15+'[2]N30 Segmentos'!D17</f>
        <v>-113916</v>
      </c>
      <c r="D27" s="8">
        <f>+'[2]N30 Segmentos'!F14+'[2]N30 Segmentos'!F15+'[2]N30 Segmentos'!F17</f>
        <v>-446311</v>
      </c>
      <c r="E27" s="8"/>
      <c r="F27" s="9">
        <f t="shared" si="2"/>
        <v>-0.745</v>
      </c>
      <c r="G27" s="8"/>
      <c r="H27" s="10">
        <f t="shared" si="3"/>
        <v>332395</v>
      </c>
    </row>
    <row r="28" spans="2:11">
      <c r="B28" s="29" t="s">
        <v>217</v>
      </c>
      <c r="C28" s="8">
        <f>+'[2]N30 Segmentos'!D19</f>
        <v>-1391121</v>
      </c>
      <c r="D28" s="8">
        <f>+'[2]N30 Segmentos'!F19</f>
        <v>-991412</v>
      </c>
      <c r="E28" s="8"/>
      <c r="F28" s="9">
        <f t="shared" si="2"/>
        <v>0.40300000000000002</v>
      </c>
      <c r="G28" s="8"/>
      <c r="H28" s="10">
        <f t="shared" si="3"/>
        <v>-399709</v>
      </c>
    </row>
    <row r="29" spans="2:11">
      <c r="B29" s="54" t="s">
        <v>257</v>
      </c>
      <c r="C29" s="328">
        <f>SUM(C25:C28)</f>
        <v>4714394</v>
      </c>
      <c r="D29" s="328">
        <f>SUM(D25:D28)</f>
        <v>3136698</v>
      </c>
      <c r="E29" s="328"/>
      <c r="F29" s="9">
        <f t="shared" ref="F29" si="4">ROUND(+H29/D29,3)</f>
        <v>0.503</v>
      </c>
      <c r="G29" s="8"/>
      <c r="H29" s="10">
        <f t="shared" ref="H29" si="5">+C29-D29</f>
        <v>1577696</v>
      </c>
    </row>
    <row r="30" spans="2:11">
      <c r="D30" s="328"/>
      <c r="F30" s="9"/>
      <c r="H30" s="10"/>
    </row>
    <row r="31" spans="2:11">
      <c r="C31" s="34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35" customWidth="1"/>
    <col min="2" max="2" width="25.28515625" style="35" bestFit="1" customWidth="1"/>
    <col min="3" max="16384" width="11.42578125" style="35"/>
  </cols>
  <sheetData>
    <row r="1" spans="1:14" ht="15" customHeight="1">
      <c r="A1" s="34" t="s">
        <v>195</v>
      </c>
    </row>
    <row r="3" spans="1:14" ht="15" customHeight="1" thickBot="1">
      <c r="B3" s="20" t="s">
        <v>228</v>
      </c>
      <c r="C3" s="6" t="s">
        <v>314</v>
      </c>
      <c r="D3" s="6" t="s">
        <v>309</v>
      </c>
      <c r="E3" s="6" t="s">
        <v>169</v>
      </c>
      <c r="F3" s="7"/>
      <c r="G3" s="6" t="s">
        <v>310</v>
      </c>
    </row>
    <row r="4" spans="1:14" ht="15" customHeight="1">
      <c r="B4" s="4" t="s">
        <v>165</v>
      </c>
      <c r="C4" s="327">
        <v>129721186</v>
      </c>
      <c r="D4" s="327">
        <v>129721186</v>
      </c>
      <c r="E4" s="9">
        <f>+ROUND(G4/D4,3)</f>
        <v>0</v>
      </c>
      <c r="F4" s="7"/>
      <c r="G4" s="8">
        <f>+C4-D4</f>
        <v>0</v>
      </c>
    </row>
    <row r="5" spans="1:14" s="36" customFormat="1" ht="15" customHeight="1">
      <c r="B5" s="4" t="s">
        <v>178</v>
      </c>
      <c r="C5" s="327">
        <v>-77210262</v>
      </c>
      <c r="D5" s="327">
        <v>-77210262</v>
      </c>
      <c r="E5" s="9">
        <f t="shared" ref="E5:E14" si="0">+ROUND(G5/D5,3)</f>
        <v>0</v>
      </c>
      <c r="F5" s="7"/>
      <c r="G5" s="8">
        <f t="shared" ref="G5:G14" si="1">+C5-D5</f>
        <v>0</v>
      </c>
    </row>
    <row r="6" spans="1:14" s="36" customFormat="1" ht="15" customHeight="1">
      <c r="B6" s="5" t="s">
        <v>179</v>
      </c>
      <c r="C6" s="350">
        <f>SUM(C4:C5)</f>
        <v>52510924</v>
      </c>
      <c r="D6" s="350">
        <f>SUM(D4:D5)</f>
        <v>52510924</v>
      </c>
      <c r="E6" s="11">
        <f t="shared" si="0"/>
        <v>0</v>
      </c>
      <c r="F6" s="12"/>
      <c r="G6" s="10">
        <f t="shared" si="1"/>
        <v>0</v>
      </c>
    </row>
    <row r="7" spans="1:14" s="36" customFormat="1" ht="15" customHeight="1">
      <c r="B7" s="4" t="s">
        <v>180</v>
      </c>
      <c r="C7" s="327">
        <v>-17417464</v>
      </c>
      <c r="D7" s="327">
        <v>-17417464</v>
      </c>
      <c r="E7" s="9">
        <f t="shared" si="0"/>
        <v>0</v>
      </c>
      <c r="F7" s="7"/>
      <c r="G7" s="8">
        <f t="shared" si="1"/>
        <v>0</v>
      </c>
      <c r="L7" s="24"/>
      <c r="M7" s="24"/>
      <c r="N7" s="37"/>
    </row>
    <row r="8" spans="1:14" s="36" customFormat="1" ht="15" customHeight="1">
      <c r="B8" s="5" t="s">
        <v>181</v>
      </c>
      <c r="C8" s="350">
        <f>+C6+C7</f>
        <v>35093460</v>
      </c>
      <c r="D8" s="350">
        <f>+D6+D7</f>
        <v>35093460</v>
      </c>
      <c r="E8" s="11">
        <f t="shared" si="0"/>
        <v>0</v>
      </c>
      <c r="F8" s="12"/>
      <c r="G8" s="10">
        <f t="shared" si="1"/>
        <v>0</v>
      </c>
    </row>
    <row r="9" spans="1:14" s="36" customFormat="1" ht="15" customHeight="1">
      <c r="B9" s="4" t="s">
        <v>273</v>
      </c>
      <c r="C9" s="327">
        <v>-2093189</v>
      </c>
      <c r="D9" s="327">
        <v>-2093189</v>
      </c>
      <c r="E9" s="9">
        <f t="shared" si="0"/>
        <v>0</v>
      </c>
      <c r="F9" s="55"/>
      <c r="G9" s="8">
        <f t="shared" si="1"/>
        <v>0</v>
      </c>
    </row>
    <row r="10" spans="1:14" s="36" customFormat="1" ht="15" customHeight="1">
      <c r="B10" s="4" t="s">
        <v>308</v>
      </c>
      <c r="C10" s="327">
        <v>-34520</v>
      </c>
      <c r="D10" s="327">
        <v>-34520</v>
      </c>
      <c r="E10" s="9" t="s">
        <v>306</v>
      </c>
      <c r="F10" s="55"/>
      <c r="G10" s="8">
        <f t="shared" si="1"/>
        <v>0</v>
      </c>
    </row>
    <row r="11" spans="1:14" s="36" customFormat="1" ht="15" customHeight="1">
      <c r="B11" s="4" t="s">
        <v>182</v>
      </c>
      <c r="C11" s="327">
        <v>-14939258</v>
      </c>
      <c r="D11" s="327">
        <v>-14939258</v>
      </c>
      <c r="E11" s="9">
        <f t="shared" si="0"/>
        <v>0</v>
      </c>
      <c r="F11" s="7"/>
      <c r="G11" s="8">
        <f t="shared" si="1"/>
        <v>0</v>
      </c>
    </row>
    <row r="12" spans="1:14" s="36" customFormat="1" ht="15" customHeight="1">
      <c r="B12" s="4" t="s">
        <v>217</v>
      </c>
      <c r="C12" s="327">
        <v>-2523215</v>
      </c>
      <c r="D12" s="327">
        <v>-2523215</v>
      </c>
      <c r="E12" s="9">
        <f t="shared" si="0"/>
        <v>0</v>
      </c>
      <c r="F12" s="7"/>
      <c r="G12" s="8">
        <f t="shared" si="1"/>
        <v>0</v>
      </c>
    </row>
    <row r="13" spans="1:14" s="36" customFormat="1" ht="15" customHeight="1">
      <c r="B13" s="4" t="s">
        <v>302</v>
      </c>
      <c r="C13" s="327">
        <v>7324842</v>
      </c>
      <c r="D13" s="327">
        <v>7324842</v>
      </c>
      <c r="E13" s="9">
        <f t="shared" si="0"/>
        <v>0</v>
      </c>
      <c r="F13" s="7"/>
      <c r="G13" s="8">
        <f t="shared" si="1"/>
        <v>0</v>
      </c>
    </row>
    <row r="14" spans="1:14" s="36" customFormat="1" ht="15" customHeight="1">
      <c r="B14" s="5" t="s">
        <v>183</v>
      </c>
      <c r="C14" s="328">
        <v>26175218</v>
      </c>
      <c r="D14" s="328">
        <v>37817198</v>
      </c>
      <c r="E14" s="11">
        <f t="shared" si="0"/>
        <v>-0.308</v>
      </c>
      <c r="F14" s="12"/>
      <c r="G14" s="10">
        <f t="shared" si="1"/>
        <v>-11641980</v>
      </c>
    </row>
    <row r="15" spans="1:14" s="36" customFormat="1" ht="15" customHeight="1">
      <c r="C15" s="32"/>
    </row>
    <row r="16" spans="1:14" s="36" customFormat="1" ht="15" customHeight="1"/>
    <row r="17" s="36" customFormat="1" ht="15" customHeight="1"/>
    <row r="18" s="36" customFormat="1" ht="15" customHeight="1"/>
    <row r="19" s="36" customFormat="1" ht="15" customHeight="1"/>
    <row r="20" s="36" customFormat="1" ht="15" customHeight="1"/>
    <row r="21" s="36" customFormat="1" ht="15" customHeight="1"/>
    <row r="22" s="36" customFormat="1" ht="15" customHeight="1"/>
    <row r="23" s="36" customFormat="1" ht="15" customHeight="1"/>
    <row r="24" s="36" customFormat="1" ht="15" customHeight="1"/>
    <row r="25" s="36" customFormat="1" ht="15" customHeight="1"/>
    <row r="26" s="36" customFormat="1" ht="15" customHeight="1"/>
    <row r="27" s="36" customFormat="1" ht="15" customHeight="1"/>
    <row r="28" s="36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C000"/>
    <pageSetUpPr fitToPage="1"/>
  </sheetPr>
  <dimension ref="B3:G33"/>
  <sheetViews>
    <sheetView showGridLines="0" workbookViewId="0">
      <selection activeCell="G5" sqref="G5"/>
    </sheetView>
  </sheetViews>
  <sheetFormatPr baseColWidth="10" defaultColWidth="11.42578125" defaultRowHeight="15" customHeight="1"/>
  <cols>
    <col min="1" max="1" width="3.85546875" style="7" customWidth="1"/>
    <col min="2" max="2" width="49.42578125" style="7" customWidth="1"/>
    <col min="3" max="3" width="12" style="7" bestFit="1" customWidth="1"/>
    <col min="4" max="4" width="13.7109375" style="7" customWidth="1"/>
    <col min="5" max="5" width="9.28515625" style="7" customWidth="1"/>
    <col min="6" max="16384" width="11.42578125" style="7"/>
  </cols>
  <sheetData>
    <row r="3" spans="2:7" ht="15" customHeight="1" thickBot="1">
      <c r="B3" s="17" t="s">
        <v>170</v>
      </c>
      <c r="C3" s="472">
        <f>+Balance!D3</f>
        <v>45565</v>
      </c>
      <c r="D3" s="472">
        <f>+Balance!E3</f>
        <v>45291</v>
      </c>
      <c r="E3" s="472" t="s">
        <v>169</v>
      </c>
    </row>
    <row r="4" spans="2:7" ht="12.75" customHeight="1">
      <c r="B4" s="4" t="s">
        <v>2</v>
      </c>
      <c r="C4" s="342">
        <f>ROUND(Balance!D15,0)</f>
        <v>226136846</v>
      </c>
      <c r="D4" s="342">
        <f>ROUND(Balance!E15,0)</f>
        <v>276781050</v>
      </c>
      <c r="E4" s="9">
        <f>ROUND((C4/D4)-1,3)</f>
        <v>-0.183</v>
      </c>
      <c r="G4" s="25">
        <f>+C4-D4</f>
        <v>-50644204</v>
      </c>
    </row>
    <row r="5" spans="2:7" ht="12.75" customHeight="1">
      <c r="B5" s="4" t="s">
        <v>3</v>
      </c>
      <c r="C5" s="342">
        <f>ROUND(Balance!D26,0)</f>
        <v>2792427807</v>
      </c>
      <c r="D5" s="342">
        <f>ROUND(Balance!E26,0)</f>
        <v>2419695021</v>
      </c>
      <c r="E5" s="9">
        <f>ROUND((C5/D5)-1,3)</f>
        <v>0.154</v>
      </c>
      <c r="G5" s="25">
        <f t="shared" ref="G5:G15" si="0">+C5-D5</f>
        <v>372732786</v>
      </c>
    </row>
    <row r="6" spans="2:7" ht="12.75" customHeight="1">
      <c r="B6" s="5" t="s">
        <v>72</v>
      </c>
      <c r="C6" s="343">
        <f>SUM(C4:C5)</f>
        <v>3018564653</v>
      </c>
      <c r="D6" s="343">
        <f>SUM(D4:D5)</f>
        <v>2696476071</v>
      </c>
      <c r="E6" s="11">
        <f>ROUND((C6/D6)-1,3)</f>
        <v>0.11899999999999999</v>
      </c>
      <c r="G6" s="25">
        <f>+C6-D6</f>
        <v>322088582</v>
      </c>
    </row>
    <row r="7" spans="2:7" ht="12.75" customHeight="1">
      <c r="B7" s="17" t="s">
        <v>200</v>
      </c>
      <c r="C7" s="344"/>
      <c r="D7" s="344"/>
      <c r="E7" s="38"/>
      <c r="G7" s="25">
        <f t="shared" si="0"/>
        <v>0</v>
      </c>
    </row>
    <row r="8" spans="2:7" ht="12.75" customHeight="1">
      <c r="B8" s="4" t="s">
        <v>0</v>
      </c>
      <c r="C8" s="342">
        <f>ROUND(+Balance!D42,0)</f>
        <v>250699212</v>
      </c>
      <c r="D8" s="342">
        <f>ROUND(+Balance!E42,0)</f>
        <v>362634346</v>
      </c>
      <c r="E8" s="9">
        <f>ROUND((C8/D8)-1,3)</f>
        <v>-0.309</v>
      </c>
      <c r="G8" s="25">
        <f t="shared" si="0"/>
        <v>-111935134</v>
      </c>
    </row>
    <row r="9" spans="2:7" ht="12.75" customHeight="1">
      <c r="B9" s="4" t="s">
        <v>1</v>
      </c>
      <c r="C9" s="342">
        <f>ROUND(+Balance!D54,0)</f>
        <v>1325260233</v>
      </c>
      <c r="D9" s="342">
        <f>ROUND(+Balance!E54,0)</f>
        <v>1175813467</v>
      </c>
      <c r="E9" s="9">
        <f>ROUND((C9/D9)-1,3)</f>
        <v>0.127</v>
      </c>
      <c r="G9" s="25">
        <f t="shared" si="0"/>
        <v>149446766</v>
      </c>
    </row>
    <row r="10" spans="2:7" ht="12.75" customHeight="1">
      <c r="B10" s="5" t="s">
        <v>73</v>
      </c>
      <c r="C10" s="343">
        <f>SUM(C8:C9)</f>
        <v>1575959445</v>
      </c>
      <c r="D10" s="343">
        <f>SUM(D8:D9)</f>
        <v>1538447813</v>
      </c>
      <c r="E10" s="11">
        <f>ROUND((C10/D10)-1,3)</f>
        <v>2.4E-2</v>
      </c>
      <c r="G10" s="25">
        <f t="shared" si="0"/>
        <v>37511632</v>
      </c>
    </row>
    <row r="11" spans="2:7" ht="12.75" customHeight="1">
      <c r="C11" s="344"/>
      <c r="D11" s="344"/>
      <c r="E11" s="38"/>
      <c r="G11" s="25">
        <f t="shared" si="0"/>
        <v>0</v>
      </c>
    </row>
    <row r="12" spans="2:7" ht="12.75" customHeight="1">
      <c r="B12" s="4" t="s">
        <v>94</v>
      </c>
      <c r="C12" s="342">
        <f>ROUND(+Balance!D63,0)</f>
        <v>858444735</v>
      </c>
      <c r="D12" s="342">
        <f>ROUND(+Balance!E63,0)</f>
        <v>715849689</v>
      </c>
      <c r="E12" s="9">
        <f>ROUND((C12/D12)-1,3)</f>
        <v>0.19900000000000001</v>
      </c>
      <c r="G12" s="25">
        <f t="shared" si="0"/>
        <v>142595046</v>
      </c>
    </row>
    <row r="13" spans="2:7" ht="12.75" customHeight="1">
      <c r="B13" s="4" t="s">
        <v>95</v>
      </c>
      <c r="C13" s="342">
        <f>ROUND(+Balance!D64,0)</f>
        <v>584160473</v>
      </c>
      <c r="D13" s="342">
        <f>ROUND(+Balance!E64,0)</f>
        <v>442178569</v>
      </c>
      <c r="E13" s="9">
        <f>ROUND((C13/D13)-1,3)</f>
        <v>0.32100000000000001</v>
      </c>
      <c r="G13" s="25">
        <f t="shared" si="0"/>
        <v>141981904</v>
      </c>
    </row>
    <row r="14" spans="2:7" ht="12.75" customHeight="1">
      <c r="B14" s="5" t="s">
        <v>198</v>
      </c>
      <c r="C14" s="343">
        <f>+C13+C12</f>
        <v>1442605208</v>
      </c>
      <c r="D14" s="343">
        <f>+D13+D12</f>
        <v>1158028258</v>
      </c>
      <c r="E14" s="11">
        <f>ROUND((C14/D14)-1,3)</f>
        <v>0.246</v>
      </c>
      <c r="G14" s="25">
        <f t="shared" si="0"/>
        <v>284576950</v>
      </c>
    </row>
    <row r="15" spans="2:7" ht="12.75" customHeight="1">
      <c r="B15" s="5" t="s">
        <v>171</v>
      </c>
      <c r="C15" s="343">
        <f>+C14+C10</f>
        <v>3018564653</v>
      </c>
      <c r="D15" s="343">
        <f>+D14+D10</f>
        <v>2696476071</v>
      </c>
      <c r="E15" s="11">
        <f>ROUND((C15/D15)-1,3)</f>
        <v>0.11899999999999999</v>
      </c>
      <c r="G15" s="25">
        <f t="shared" si="0"/>
        <v>322088582</v>
      </c>
    </row>
    <row r="17" spans="2:5" ht="15" customHeight="1">
      <c r="C17" s="335">
        <f>+C6-C15</f>
        <v>0</v>
      </c>
      <c r="D17" s="335">
        <f>+D6-D15</f>
        <v>0</v>
      </c>
    </row>
    <row r="20" spans="2:5" ht="15" customHeight="1" thickBot="1">
      <c r="B20" s="506" t="s">
        <v>229</v>
      </c>
      <c r="C20" s="505" t="s">
        <v>453</v>
      </c>
      <c r="D20" s="505"/>
      <c r="E20" s="7" t="s">
        <v>316</v>
      </c>
    </row>
    <row r="21" spans="2:5" ht="15" customHeight="1">
      <c r="B21" s="29" t="s">
        <v>414</v>
      </c>
      <c r="C21" s="18">
        <v>25253612</v>
      </c>
      <c r="D21" s="390"/>
      <c r="E21" s="369"/>
    </row>
    <row r="22" spans="2:5" ht="15" customHeight="1">
      <c r="B22" s="29" t="s">
        <v>415</v>
      </c>
      <c r="C22" s="18">
        <v>13179148</v>
      </c>
      <c r="D22" s="390"/>
      <c r="E22" s="369"/>
    </row>
    <row r="23" spans="2:5" ht="15" customHeight="1">
      <c r="B23" s="29" t="s">
        <v>416</v>
      </c>
      <c r="C23" s="18">
        <v>11434639</v>
      </c>
      <c r="D23" s="390"/>
      <c r="E23" s="369"/>
    </row>
    <row r="24" spans="2:5" ht="15" customHeight="1">
      <c r="B24" s="29" t="s">
        <v>312</v>
      </c>
      <c r="C24" s="18">
        <v>4073361</v>
      </c>
      <c r="D24" s="390"/>
      <c r="E24" s="369"/>
    </row>
    <row r="25" spans="2:5" ht="15" customHeight="1">
      <c r="B25" s="29" t="s">
        <v>417</v>
      </c>
      <c r="C25" s="18">
        <v>3908829</v>
      </c>
      <c r="D25" s="390"/>
      <c r="E25" s="369"/>
    </row>
    <row r="26" spans="2:5" ht="15" customHeight="1">
      <c r="B26" s="29" t="s">
        <v>418</v>
      </c>
      <c r="C26" s="18">
        <v>2195632</v>
      </c>
      <c r="D26" s="390"/>
      <c r="E26" s="369"/>
    </row>
    <row r="27" spans="2:5" ht="15" customHeight="1">
      <c r="B27" s="29" t="s">
        <v>419</v>
      </c>
      <c r="C27" s="18">
        <v>1735993</v>
      </c>
      <c r="D27" s="390"/>
      <c r="E27" s="369"/>
    </row>
    <row r="28" spans="2:5" ht="15" customHeight="1">
      <c r="B28" s="29" t="s">
        <v>420</v>
      </c>
      <c r="C28" s="18">
        <v>1194850</v>
      </c>
      <c r="D28" s="390"/>
      <c r="E28" s="369"/>
    </row>
    <row r="29" spans="2:5" ht="15" customHeight="1">
      <c r="B29" s="29" t="s">
        <v>421</v>
      </c>
      <c r="C29" s="18">
        <v>946611</v>
      </c>
      <c r="D29" s="390"/>
      <c r="E29" s="369"/>
    </row>
    <row r="30" spans="2:5" ht="15" customHeight="1">
      <c r="B30" s="29" t="s">
        <v>422</v>
      </c>
      <c r="C30" s="18">
        <v>820419</v>
      </c>
      <c r="D30" s="534"/>
      <c r="E30" s="534"/>
    </row>
    <row r="31" spans="2:5" ht="15" customHeight="1">
      <c r="B31" s="29" t="s">
        <v>423</v>
      </c>
      <c r="C31" s="18">
        <v>813821</v>
      </c>
    </row>
    <row r="32" spans="2:5" ht="15" customHeight="1">
      <c r="B32" s="511" t="s">
        <v>424</v>
      </c>
      <c r="C32" s="18">
        <v>386333</v>
      </c>
    </row>
    <row r="33" spans="2:3" ht="15" customHeight="1">
      <c r="B33" s="7" t="s">
        <v>425</v>
      </c>
      <c r="C33" s="18">
        <v>31561891</v>
      </c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C000"/>
  </sheetPr>
  <dimension ref="A1:O62"/>
  <sheetViews>
    <sheetView showGridLines="0" topLeftCell="B49" workbookViewId="0">
      <selection activeCell="D10" sqref="D10"/>
    </sheetView>
  </sheetViews>
  <sheetFormatPr baseColWidth="10" defaultColWidth="11.42578125" defaultRowHeight="15" customHeight="1"/>
  <cols>
    <col min="1" max="1" width="26.140625" style="7" bestFit="1" customWidth="1"/>
    <col min="2" max="2" width="24.7109375" style="7" bestFit="1" customWidth="1"/>
    <col min="3" max="3" width="11.42578125" style="7"/>
    <col min="4" max="4" width="15.28515625" style="7" bestFit="1" customWidth="1"/>
    <col min="5" max="5" width="12.42578125" style="7" bestFit="1" customWidth="1"/>
    <col min="6" max="6" width="13.5703125" style="7" customWidth="1"/>
    <col min="7" max="7" width="12.85546875" style="7" bestFit="1" customWidth="1"/>
    <col min="8" max="8" width="14.42578125" style="7" bestFit="1" customWidth="1"/>
    <col min="9" max="9" width="11.42578125" style="7"/>
    <col min="10" max="10" width="14.5703125" style="7" customWidth="1"/>
    <col min="11" max="11" width="11.42578125" style="7"/>
    <col min="12" max="12" width="30.140625" style="7" bestFit="1" customWidth="1"/>
    <col min="13" max="13" width="55.85546875" style="7" bestFit="1" customWidth="1"/>
    <col min="14" max="14" width="11.42578125" style="7"/>
    <col min="15" max="15" width="8.85546875" style="7" customWidth="1"/>
    <col min="16" max="16384" width="11.42578125" style="7"/>
  </cols>
  <sheetData>
    <row r="1" spans="1:15" ht="15" customHeight="1">
      <c r="E1" s="39"/>
      <c r="F1" s="39"/>
      <c r="G1" s="39"/>
      <c r="H1" s="39"/>
    </row>
    <row r="2" spans="1:15" ht="18.75" customHeight="1" thickBot="1">
      <c r="B2" s="457" t="s">
        <v>249</v>
      </c>
      <c r="C2" s="458" t="s">
        <v>190</v>
      </c>
      <c r="D2" s="458" t="s">
        <v>191</v>
      </c>
      <c r="E2" s="458" t="s">
        <v>192</v>
      </c>
      <c r="F2" s="458" t="s">
        <v>201</v>
      </c>
      <c r="G2" s="458" t="s">
        <v>202</v>
      </c>
      <c r="H2" s="458" t="s">
        <v>203</v>
      </c>
      <c r="J2" s="363" t="s">
        <v>275</v>
      </c>
      <c r="K2" s="364" t="s">
        <v>274</v>
      </c>
      <c r="M2" s="29"/>
      <c r="N2" s="18"/>
      <c r="O2"/>
    </row>
    <row r="3" spans="1:15" ht="15" customHeight="1">
      <c r="A3" s="459"/>
      <c r="B3" s="460" t="s">
        <v>193</v>
      </c>
      <c r="C3" s="41" t="s">
        <v>71</v>
      </c>
      <c r="D3" s="274">
        <f>SUM(E3:H3)</f>
        <v>168579944</v>
      </c>
      <c r="E3" s="275">
        <v>21250186</v>
      </c>
      <c r="F3" s="275">
        <v>39732862</v>
      </c>
      <c r="G3" s="275">
        <v>39004743</v>
      </c>
      <c r="H3" s="275">
        <v>68592153</v>
      </c>
      <c r="J3" s="329">
        <f>+'[2]N16.3 Clases Instrum. Finan.'!$E$49+'[2]N16.3 Clases Instrum. Finan.'!$E$28</f>
        <v>168579944</v>
      </c>
      <c r="K3" s="365">
        <f>+D3-J3</f>
        <v>0</v>
      </c>
      <c r="M3" s="29"/>
      <c r="N3" s="18"/>
      <c r="O3"/>
    </row>
    <row r="4" spans="1:15" ht="15" customHeight="1">
      <c r="A4" s="459"/>
      <c r="B4" s="4" t="s">
        <v>219</v>
      </c>
      <c r="C4" s="41" t="s">
        <v>71</v>
      </c>
      <c r="D4" s="274">
        <f t="shared" ref="D4" si="0">SUM(E4:H4)</f>
        <v>977119018</v>
      </c>
      <c r="E4" s="275">
        <v>18203401</v>
      </c>
      <c r="F4" s="275">
        <v>0</v>
      </c>
      <c r="G4" s="275">
        <v>105658714</v>
      </c>
      <c r="H4" s="275">
        <v>853256903</v>
      </c>
      <c r="J4" s="329">
        <f>+'[2]N16.3 Clases Instrum. Finan.'!$E$45+'[2]N16.3 Clases Instrum. Finan.'!$E$46+'[2]N16.3 Clases Instrum. Finan.'!$E$47+'[2]N16.3 Clases Instrum. Finan.'!$E$48+'[2]N16.3 Clases Instrum. Finan.'!$E$24+'[2]N16.3 Clases Instrum. Finan.'!$E$25+'[2]N16.3 Clases Instrum. Finan.'!$E$26+'[2]N16.3 Clases Instrum. Finan.'!$E$27+'[2]N16.3 Clases Instrum. Finan.'!$E$29+'[2]N16.3 Clases Instrum. Finan.'!$E$50</f>
        <v>977119018</v>
      </c>
      <c r="K4" s="365">
        <f>+D4-J4</f>
        <v>0</v>
      </c>
      <c r="M4" s="29"/>
      <c r="N4" s="18"/>
      <c r="O4"/>
    </row>
    <row r="5" spans="1:15" ht="15" customHeight="1">
      <c r="A5" s="459"/>
      <c r="B5" s="4" t="s">
        <v>220</v>
      </c>
      <c r="C5" s="41" t="s">
        <v>71</v>
      </c>
      <c r="D5" s="274">
        <f>SUM(E5:H5)</f>
        <v>173856508</v>
      </c>
      <c r="E5" s="275">
        <v>49977601</v>
      </c>
      <c r="F5" s="275">
        <v>94165202</v>
      </c>
      <c r="G5" s="275">
        <v>29713705</v>
      </c>
      <c r="H5" s="275">
        <v>0</v>
      </c>
      <c r="J5" s="329">
        <f>+'[2]N16.3 Clases Instrum. Finan.'!$E$44+'[2]N16.3 Clases Instrum. Finan.'!$E$23</f>
        <v>173856508</v>
      </c>
      <c r="K5" s="365">
        <f>+D5-J5</f>
        <v>0</v>
      </c>
      <c r="M5" s="29"/>
      <c r="N5" s="18"/>
      <c r="O5"/>
    </row>
    <row r="6" spans="1:15" ht="15" hidden="1" customHeight="1">
      <c r="A6" s="459"/>
      <c r="B6" s="4" t="s">
        <v>320</v>
      </c>
      <c r="C6" s="41" t="s">
        <v>319</v>
      </c>
      <c r="D6" s="274">
        <f t="shared" ref="D6" si="1">SUM(E6:H6)</f>
        <v>0</v>
      </c>
      <c r="E6" s="275">
        <v>0</v>
      </c>
      <c r="F6" s="275">
        <v>0</v>
      </c>
      <c r="G6" s="275">
        <v>0</v>
      </c>
      <c r="H6" s="275">
        <v>0</v>
      </c>
      <c r="J6" s="329">
        <f>+'[3]N16.3 Clases Instrum. Finan.'!$E$27</f>
        <v>0</v>
      </c>
      <c r="K6" s="365"/>
      <c r="M6" s="29"/>
      <c r="N6" s="18"/>
      <c r="O6"/>
    </row>
    <row r="7" spans="1:15" ht="15" customHeight="1">
      <c r="B7" s="5" t="s">
        <v>304</v>
      </c>
      <c r="C7" s="41"/>
      <c r="D7" s="274">
        <f>SUM(D3:D6)</f>
        <v>1319555470</v>
      </c>
      <c r="E7" s="274">
        <f>SUM(E3:E6)</f>
        <v>89431188</v>
      </c>
      <c r="F7" s="274">
        <f>SUM(F3:F6)</f>
        <v>133898064</v>
      </c>
      <c r="G7" s="274">
        <f>SUM(G3:G6)</f>
        <v>174377162</v>
      </c>
      <c r="H7" s="274">
        <f>SUM(H3:H6)</f>
        <v>921849056</v>
      </c>
      <c r="J7" s="329"/>
      <c r="K7" s="365"/>
      <c r="M7" s="29"/>
      <c r="N7" s="18"/>
      <c r="O7"/>
    </row>
    <row r="8" spans="1:15" ht="15" customHeight="1">
      <c r="A8" s="459"/>
      <c r="B8" s="346" t="s">
        <v>268</v>
      </c>
      <c r="C8" s="347" t="s">
        <v>71</v>
      </c>
      <c r="D8" s="348">
        <f t="shared" ref="D8" si="2">SUM(E8:H8)</f>
        <v>4046489</v>
      </c>
      <c r="E8" s="349">
        <f>1749268+24808</f>
        <v>1774076</v>
      </c>
      <c r="F8" s="349">
        <v>1468244</v>
      </c>
      <c r="G8" s="349">
        <v>804169</v>
      </c>
      <c r="H8" s="349">
        <v>0</v>
      </c>
      <c r="J8" s="329">
        <f>+'[2]N16.3 Clases Instrum. Finan.'!$E$52+'[2]N16.3 Clases Instrum. Finan.'!$E$31</f>
        <v>4046489</v>
      </c>
      <c r="K8" s="365">
        <f>+D8-J8</f>
        <v>0</v>
      </c>
      <c r="M8" s="29"/>
      <c r="N8" s="18"/>
      <c r="O8"/>
    </row>
    <row r="9" spans="1:15" ht="15" customHeight="1" thickBot="1">
      <c r="A9" s="459"/>
      <c r="B9" s="5" t="s">
        <v>305</v>
      </c>
      <c r="C9" s="461"/>
      <c r="D9" s="462">
        <f>+D8</f>
        <v>4046489</v>
      </c>
      <c r="E9" s="462">
        <f t="shared" ref="E9:H9" si="3">+E8</f>
        <v>1774076</v>
      </c>
      <c r="F9" s="462">
        <f t="shared" si="3"/>
        <v>1468244</v>
      </c>
      <c r="G9" s="462">
        <f t="shared" si="3"/>
        <v>804169</v>
      </c>
      <c r="H9" s="462">
        <f t="shared" si="3"/>
        <v>0</v>
      </c>
      <c r="J9" s="329"/>
      <c r="K9" s="330"/>
      <c r="M9" s="29"/>
      <c r="N9" s="18"/>
      <c r="O9"/>
    </row>
    <row r="10" spans="1:15" ht="15" customHeight="1">
      <c r="B10" s="463" t="s">
        <v>199</v>
      </c>
      <c r="C10" s="14"/>
      <c r="D10" s="274">
        <f>+D7+D9</f>
        <v>1323601959</v>
      </c>
      <c r="E10" s="274">
        <f t="shared" ref="E10:H10" si="4">+E7+E9</f>
        <v>91205264</v>
      </c>
      <c r="F10" s="274">
        <f t="shared" si="4"/>
        <v>135366308</v>
      </c>
      <c r="G10" s="274">
        <f t="shared" si="4"/>
        <v>175181331</v>
      </c>
      <c r="H10" s="274">
        <f t="shared" si="4"/>
        <v>921849056</v>
      </c>
      <c r="J10" s="22"/>
      <c r="M10" s="29"/>
      <c r="N10" s="18"/>
      <c r="O10"/>
    </row>
    <row r="11" spans="1:15" ht="15" customHeight="1">
      <c r="M11" s="29"/>
      <c r="N11" s="18"/>
      <c r="O11"/>
    </row>
    <row r="12" spans="1:15" ht="15" customHeight="1">
      <c r="B12" s="7" t="s">
        <v>230</v>
      </c>
      <c r="D12" s="22"/>
      <c r="E12" s="22"/>
      <c r="F12" s="7" t="s">
        <v>231</v>
      </c>
      <c r="G12" s="22"/>
      <c r="H12" s="22"/>
      <c r="M12" s="29"/>
      <c r="N12" s="18"/>
      <c r="O12"/>
    </row>
    <row r="13" spans="1:15" ht="15" customHeight="1">
      <c r="B13" s="464" t="str">
        <f>+B3</f>
        <v>AFRs</v>
      </c>
      <c r="C13" s="465">
        <f>ROUND(D13/$D$10,5)</f>
        <v>0.12736</v>
      </c>
      <c r="D13" s="466">
        <f>+D3</f>
        <v>168579944</v>
      </c>
      <c r="E13" s="42"/>
      <c r="F13" s="464" t="s">
        <v>205</v>
      </c>
      <c r="G13" s="465">
        <f>ROUND(H13/$D$10,5)</f>
        <v>0.89142999999999994</v>
      </c>
      <c r="H13" s="466">
        <f>+B44+B45+B46+B49+B47</f>
        <v>1179895977</v>
      </c>
      <c r="I13" s="459"/>
      <c r="M13" s="29"/>
      <c r="N13" s="18"/>
      <c r="O13"/>
    </row>
    <row r="14" spans="1:15" ht="15" customHeight="1">
      <c r="B14" s="42" t="str">
        <f>+B4</f>
        <v>Bonos</v>
      </c>
      <c r="C14" s="467">
        <f t="shared" ref="C14:C15" si="5">ROUND(D14/$D$10,5)</f>
        <v>0.73823000000000005</v>
      </c>
      <c r="D14" s="43">
        <f>+D4</f>
        <v>977119018</v>
      </c>
      <c r="E14" s="42"/>
      <c r="F14" s="42" t="s">
        <v>204</v>
      </c>
      <c r="G14" s="467">
        <f>ROUND(H14/$D$10,5)</f>
        <v>0.10854999999999999</v>
      </c>
      <c r="H14" s="43">
        <f>+B43</f>
        <v>143681174</v>
      </c>
      <c r="I14" s="459"/>
      <c r="M14" s="29"/>
      <c r="N14" s="18"/>
      <c r="O14"/>
    </row>
    <row r="15" spans="1:15" ht="15" customHeight="1">
      <c r="B15" s="42" t="s">
        <v>220</v>
      </c>
      <c r="C15" s="467">
        <f t="shared" si="5"/>
        <v>0.13134999999999999</v>
      </c>
      <c r="D15" s="43">
        <f>+D5</f>
        <v>173856508</v>
      </c>
      <c r="E15" s="42"/>
      <c r="F15" s="42"/>
      <c r="G15" s="487">
        <f>+G13+G14</f>
        <v>0.99997999999999998</v>
      </c>
      <c r="H15" s="43">
        <f>+SUM(H13:H14)</f>
        <v>1323577151</v>
      </c>
      <c r="J15" s="368"/>
      <c r="M15" s="29"/>
      <c r="N15" s="18"/>
      <c r="O15"/>
    </row>
    <row r="16" spans="1:15" ht="12.75">
      <c r="B16" s="42" t="str">
        <f>+B8</f>
        <v>Pasivo por arrendamientos</v>
      </c>
      <c r="C16" s="467">
        <f>ROUND(D16/$D$10,4)-0.0001</f>
        <v>3.0000000000000001E-3</v>
      </c>
      <c r="D16" s="43">
        <f>+D8</f>
        <v>4046489</v>
      </c>
      <c r="G16" s="44"/>
      <c r="M16" s="29"/>
      <c r="N16" s="55"/>
      <c r="O16"/>
    </row>
    <row r="17" spans="3:15" ht="15" customHeight="1">
      <c r="C17" s="486">
        <f>SUM(C13:C16)</f>
        <v>0.99994000000000005</v>
      </c>
      <c r="D17" s="370"/>
      <c r="G17" s="45"/>
      <c r="M17" s="29"/>
      <c r="N17" s="55"/>
      <c r="O17"/>
    </row>
    <row r="18" spans="3:15" ht="15" customHeight="1">
      <c r="C18" s="44"/>
      <c r="D18" s="22"/>
      <c r="E18" s="22"/>
      <c r="F18" s="22"/>
      <c r="G18" s="22"/>
      <c r="H18" s="22"/>
      <c r="M18" s="29"/>
      <c r="N18" s="55"/>
      <c r="O18"/>
    </row>
    <row r="19" spans="3:15" ht="15" customHeight="1">
      <c r="C19" s="45"/>
      <c r="D19" s="22"/>
      <c r="E19" s="22"/>
      <c r="F19" s="22"/>
      <c r="G19" s="22"/>
      <c r="H19" s="22"/>
    </row>
    <row r="20" spans="3:15" ht="15" customHeight="1">
      <c r="D20" s="22"/>
    </row>
    <row r="21" spans="3:15" ht="15" customHeight="1">
      <c r="D21" s="22"/>
    </row>
    <row r="43" spans="1:4" ht="15" customHeight="1">
      <c r="A43" s="140" t="s">
        <v>290</v>
      </c>
      <c r="B43" s="333">
        <v>143681174</v>
      </c>
      <c r="C43" s="478">
        <f t="shared" ref="C43:C49" si="6">+ROUND(B43/$B$50,4)</f>
        <v>0.1086</v>
      </c>
      <c r="D43" s="335"/>
    </row>
    <row r="44" spans="1:4" ht="15" customHeight="1">
      <c r="A44" s="140" t="s">
        <v>291</v>
      </c>
      <c r="B44" s="333">
        <v>30175334</v>
      </c>
      <c r="C44" s="478">
        <f t="shared" si="6"/>
        <v>2.2800000000000001E-2</v>
      </c>
    </row>
    <row r="45" spans="1:4" ht="15" customHeight="1">
      <c r="A45" s="140" t="s">
        <v>219</v>
      </c>
      <c r="B45" s="333">
        <v>968661127</v>
      </c>
      <c r="C45" s="478">
        <f>+ROUND(B45/$B$50,4)-0.0001</f>
        <v>0.73180000000000001</v>
      </c>
    </row>
    <row r="46" spans="1:4" ht="15" customHeight="1">
      <c r="A46" s="140" t="s">
        <v>288</v>
      </c>
      <c r="B46" s="333">
        <v>168579944</v>
      </c>
      <c r="C46" s="478">
        <f t="shared" si="6"/>
        <v>0.12740000000000001</v>
      </c>
    </row>
    <row r="47" spans="1:4" ht="15" customHeight="1">
      <c r="A47" s="140" t="s">
        <v>317</v>
      </c>
      <c r="B47" s="333">
        <v>8457891</v>
      </c>
      <c r="C47" s="478">
        <f t="shared" si="6"/>
        <v>6.4000000000000003E-3</v>
      </c>
      <c r="D47" s="140"/>
    </row>
    <row r="48" spans="1:4" ht="15" customHeight="1">
      <c r="A48" s="140" t="s">
        <v>320</v>
      </c>
      <c r="B48" s="333">
        <v>0</v>
      </c>
      <c r="C48" s="478">
        <f t="shared" si="6"/>
        <v>0</v>
      </c>
    </row>
    <row r="49" spans="1:3" ht="15" customHeight="1">
      <c r="A49" s="140" t="s">
        <v>286</v>
      </c>
      <c r="B49" s="333">
        <v>4021681</v>
      </c>
      <c r="C49" s="478">
        <f t="shared" si="6"/>
        <v>3.0000000000000001E-3</v>
      </c>
    </row>
    <row r="50" spans="1:3" ht="15" customHeight="1">
      <c r="A50" s="139" t="s">
        <v>289</v>
      </c>
      <c r="B50" s="334">
        <f>SUM(B43:B49)</f>
        <v>1323577151</v>
      </c>
      <c r="C50" s="479">
        <f>+SUM(C43:C49)</f>
        <v>0.99999999999999989</v>
      </c>
    </row>
    <row r="51" spans="1:3" ht="15" customHeight="1">
      <c r="A51" s="140"/>
    </row>
    <row r="52" spans="1:3" ht="15" customHeight="1">
      <c r="A52" s="331" t="s">
        <v>401</v>
      </c>
      <c r="B52" s="331"/>
      <c r="C52" s="331"/>
    </row>
    <row r="53" spans="1:3" ht="15" customHeight="1">
      <c r="A53" s="140" t="s">
        <v>205</v>
      </c>
      <c r="B53" s="140"/>
      <c r="C53" s="266">
        <f>(C45+C46+C49+C44+C47+C48)</f>
        <v>0.89139999999999997</v>
      </c>
    </row>
    <row r="54" spans="1:3" ht="15" customHeight="1">
      <c r="A54" s="140" t="s">
        <v>204</v>
      </c>
      <c r="B54" s="140"/>
      <c r="C54" s="266">
        <f>+C43</f>
        <v>0.1086</v>
      </c>
    </row>
    <row r="55" spans="1:3" ht="15" customHeight="1">
      <c r="A55" s="332" t="s">
        <v>186</v>
      </c>
      <c r="B55" s="332"/>
      <c r="C55" s="480">
        <f>+C53+C54</f>
        <v>1</v>
      </c>
    </row>
    <row r="56" spans="1:3" ht="15" customHeight="1">
      <c r="A56" s="140" t="s">
        <v>284</v>
      </c>
      <c r="B56" s="140"/>
      <c r="C56" s="232">
        <f>+ROUND((C45/($C$45+$C$46+$C$49+$C$44+$C$47+$C$48)),3)</f>
        <v>0.82099999999999995</v>
      </c>
    </row>
    <row r="57" spans="1:3" ht="15" customHeight="1">
      <c r="A57" s="140" t="s">
        <v>285</v>
      </c>
      <c r="B57" s="140"/>
      <c r="C57" s="232">
        <f>+ROUND((C46/($C$45+$C$46+$C$49+$C$44+$C$47+$C$48)),3)</f>
        <v>0.14299999999999999</v>
      </c>
    </row>
    <row r="58" spans="1:3" ht="15" customHeight="1">
      <c r="A58" s="140" t="s">
        <v>287</v>
      </c>
      <c r="B58" s="140"/>
      <c r="C58" s="232">
        <f>+ROUND((C44/($C$45+$C$46+$C$49+$C$44+$C$47+$C$48)),3)</f>
        <v>2.5999999999999999E-2</v>
      </c>
    </row>
    <row r="59" spans="1:3" ht="15" customHeight="1">
      <c r="A59" s="140" t="s">
        <v>317</v>
      </c>
      <c r="B59" s="140"/>
      <c r="C59" s="232">
        <f>+ROUND((C47/($C$45+$C$46+$C$49+$C$44+$C$47+$C$48)),3)</f>
        <v>7.0000000000000001E-3</v>
      </c>
    </row>
    <row r="60" spans="1:3" ht="15" customHeight="1">
      <c r="A60" s="140" t="s">
        <v>431</v>
      </c>
      <c r="B60" s="140"/>
      <c r="C60" s="232">
        <f>+ROUND((C48/($C$45+$C$46+$C$49+$C$44+$C$47+$C$48)),3)</f>
        <v>0</v>
      </c>
    </row>
    <row r="61" spans="1:3" ht="15" customHeight="1">
      <c r="A61" s="140" t="s">
        <v>286</v>
      </c>
      <c r="B61" s="140"/>
      <c r="C61" s="232">
        <f>+ROUND((C49/($C$45+$C$46+$C$49+$C$44+$C$47+$C$48)),3)</f>
        <v>3.0000000000000001E-3</v>
      </c>
    </row>
    <row r="62" spans="1:3" ht="15" customHeight="1">
      <c r="A62" s="332" t="s">
        <v>186</v>
      </c>
      <c r="B62" s="332"/>
      <c r="C62" s="480">
        <f>SUM(C56:C61)</f>
        <v>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C00000"/>
    <pageSetUpPr fitToPage="1"/>
  </sheetPr>
  <dimension ref="B3:L18"/>
  <sheetViews>
    <sheetView showGridLines="0" workbookViewId="0">
      <selection activeCell="D16" sqref="D16"/>
    </sheetView>
  </sheetViews>
  <sheetFormatPr baseColWidth="10" defaultColWidth="11.42578125" defaultRowHeight="15" customHeight="1"/>
  <cols>
    <col min="1" max="1" width="6" style="7" customWidth="1"/>
    <col min="2" max="2" width="33.28515625" style="7" customWidth="1"/>
    <col min="3" max="4" width="12" style="7" bestFit="1" customWidth="1"/>
    <col min="5" max="6" width="11.42578125" style="7"/>
    <col min="7" max="7" width="12" style="7" bestFit="1" customWidth="1"/>
    <col min="8" max="8" width="11.42578125" style="7"/>
    <col min="9" max="10" width="12" style="7" bestFit="1" customWidth="1"/>
    <col min="11" max="11" width="11.5703125" style="7" bestFit="1" customWidth="1"/>
    <col min="12" max="16384" width="11.42578125" style="7"/>
  </cols>
  <sheetData>
    <row r="3" spans="2:12" ht="15" customHeight="1" thickBot="1">
      <c r="B3" s="20" t="s">
        <v>265</v>
      </c>
      <c r="C3" s="472">
        <f>+Flujo!D2</f>
        <v>45565</v>
      </c>
      <c r="D3" s="472">
        <f>+Flujo!E2</f>
        <v>45199</v>
      </c>
      <c r="E3" s="6" t="s">
        <v>169</v>
      </c>
      <c r="I3" s="472">
        <v>45473</v>
      </c>
      <c r="J3" s="472">
        <v>45107</v>
      </c>
      <c r="L3" s="7" t="s">
        <v>462</v>
      </c>
    </row>
    <row r="4" spans="2:12" ht="15" customHeight="1">
      <c r="B4" s="4" t="s">
        <v>172</v>
      </c>
      <c r="C4" s="8">
        <f>ROUND(cálculos!D28,0)</f>
        <v>201724286</v>
      </c>
      <c r="D4" s="8">
        <f>ROUND(cálculos!E28,0)</f>
        <v>171102117</v>
      </c>
      <c r="E4" s="46">
        <f>ROUND((C4-D4)/D4,3)</f>
        <v>0.17899999999999999</v>
      </c>
      <c r="G4" s="345">
        <f>+C4-D4</f>
        <v>30622169</v>
      </c>
      <c r="I4" s="520">
        <v>148391674</v>
      </c>
      <c r="J4" s="520">
        <v>129695767</v>
      </c>
      <c r="K4" s="520"/>
      <c r="L4" s="31">
        <f>+C4-I4</f>
        <v>53332612</v>
      </c>
    </row>
    <row r="5" spans="2:12" ht="15" customHeight="1">
      <c r="B5" s="4" t="s">
        <v>173</v>
      </c>
      <c r="C5" s="8">
        <f>ROUND(cálculos!D29,0)</f>
        <v>-141473209</v>
      </c>
      <c r="D5" s="8">
        <f>ROUND(cálculos!E29,0)</f>
        <v>-100437509</v>
      </c>
      <c r="E5" s="46">
        <f>ROUND((C5-D5)/D5,3)</f>
        <v>0.40899999999999997</v>
      </c>
      <c r="G5" s="345">
        <f>+C5-D5</f>
        <v>-41035700</v>
      </c>
      <c r="I5" s="520">
        <v>-97503654</v>
      </c>
      <c r="J5" s="520">
        <v>-64754557</v>
      </c>
      <c r="K5" s="520"/>
      <c r="L5" s="31">
        <f t="shared" ref="L5:L8" si="0">+C5-I5</f>
        <v>-43969555</v>
      </c>
    </row>
    <row r="6" spans="2:12" ht="15" customHeight="1">
      <c r="B6" s="4" t="s">
        <v>174</v>
      </c>
      <c r="C6" s="8">
        <f>ROUND(cálculos!D30,0)</f>
        <v>-94549013</v>
      </c>
      <c r="D6" s="8">
        <f>ROUND(cálculos!E30,0)</f>
        <v>-103443511</v>
      </c>
      <c r="E6" s="46">
        <f>ROUND((C6-D6)/D6,3)</f>
        <v>-8.5999999999999993E-2</v>
      </c>
      <c r="G6" s="345">
        <f>+C6-D6</f>
        <v>8894498</v>
      </c>
      <c r="I6" s="520">
        <v>-51913924</v>
      </c>
      <c r="J6" s="520">
        <v>-79974605</v>
      </c>
      <c r="K6" s="520"/>
      <c r="L6" s="31">
        <f t="shared" si="0"/>
        <v>-42635089</v>
      </c>
    </row>
    <row r="7" spans="2:12" ht="15" customHeight="1">
      <c r="B7" s="5" t="s">
        <v>248</v>
      </c>
      <c r="C7" s="10">
        <f>SUM(C4:C6)</f>
        <v>-34297936</v>
      </c>
      <c r="D7" s="10">
        <f>SUM(D4:D6)</f>
        <v>-32778903</v>
      </c>
      <c r="E7" s="351">
        <f>ROUND((C7-D7)/D7,3)</f>
        <v>4.5999999999999999E-2</v>
      </c>
      <c r="G7" s="345">
        <f>+C7-D7</f>
        <v>-1519033</v>
      </c>
      <c r="I7" s="520">
        <v>-1025904</v>
      </c>
      <c r="J7" s="520">
        <v>-15033395</v>
      </c>
      <c r="K7" s="520"/>
      <c r="L7" s="31">
        <f t="shared" si="0"/>
        <v>-33272032</v>
      </c>
    </row>
    <row r="8" spans="2:12" ht="15" customHeight="1">
      <c r="B8" s="5" t="s">
        <v>175</v>
      </c>
      <c r="C8" s="10">
        <f>ROUND(cálculos!D33,0)</f>
        <v>76497474</v>
      </c>
      <c r="D8" s="10">
        <f>ROUND(cálculos!E33,0)</f>
        <v>147766964</v>
      </c>
      <c r="E8" s="351">
        <f>ROUND((C8-D8)/D8,3)</f>
        <v>-0.48199999999999998</v>
      </c>
      <c r="G8" s="345">
        <f>+C8-D8</f>
        <v>-71269490</v>
      </c>
      <c r="I8" s="520">
        <v>109769506</v>
      </c>
      <c r="J8" s="520">
        <v>165512473</v>
      </c>
      <c r="K8" s="520"/>
      <c r="L8" s="31">
        <f t="shared" si="0"/>
        <v>-33272032</v>
      </c>
    </row>
    <row r="9" spans="2:12" ht="15" customHeight="1">
      <c r="C9" s="31">
        <f>+C8-Balance!D6</f>
        <v>0</v>
      </c>
      <c r="D9" s="31"/>
    </row>
    <row r="10" spans="2:12" ht="15" customHeight="1">
      <c r="C10" s="31"/>
    </row>
    <row r="11" spans="2:12" ht="15" customHeight="1">
      <c r="C11" s="504" t="s">
        <v>451</v>
      </c>
      <c r="D11" s="504" t="s">
        <v>452</v>
      </c>
    </row>
    <row r="12" spans="2:12" ht="15" customHeight="1">
      <c r="B12" s="5" t="s">
        <v>428</v>
      </c>
      <c r="C12" s="510">
        <v>109769506</v>
      </c>
      <c r="D12" s="510">
        <v>165512473</v>
      </c>
    </row>
    <row r="13" spans="2:12" ht="15" customHeight="1">
      <c r="C13" s="16"/>
    </row>
    <row r="14" spans="2:12" ht="15" customHeight="1">
      <c r="C14" s="16"/>
    </row>
    <row r="15" spans="2:12" ht="15" customHeight="1">
      <c r="C15" s="16">
        <f>+C8-C12</f>
        <v>-33272032</v>
      </c>
      <c r="D15" s="16">
        <f>+D8-D12</f>
        <v>-17745509</v>
      </c>
    </row>
    <row r="16" spans="2:12" ht="15" customHeight="1">
      <c r="C16" s="16"/>
    </row>
    <row r="17" spans="3:3" ht="15" customHeight="1">
      <c r="C17" s="16"/>
    </row>
    <row r="18" spans="3:3" ht="15" customHeight="1">
      <c r="C18" s="22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FAE7E6EF-6001-460E-A0E1-B9A0F32DDAE4}"/>
</file>

<file path=customXml/itemProps3.xml><?xml version="1.0" encoding="utf-8"?>
<ds:datastoreItem xmlns:ds="http://schemas.openxmlformats.org/officeDocument/2006/customXml" ds:itemID="{44748197-053C-481B-BC1D-E33009708E10}"/>
</file>

<file path=customXml/itemProps4.xml><?xml version="1.0" encoding="utf-8"?>
<ds:datastoreItem xmlns:ds="http://schemas.openxmlformats.org/officeDocument/2006/customXml" ds:itemID="{EC618332-5A29-4E6C-9F3F-EB26C9CF4F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Resultados Trimestrales</vt:lpstr>
      <vt:lpstr>Análisis de gastos</vt:lpstr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  <vt:lpstr>cálculos</vt:lpstr>
      <vt:lpstr>Balance</vt:lpstr>
      <vt:lpstr>Resultado</vt:lpstr>
      <vt:lpstr>Flujo</vt:lpstr>
      <vt:lpstr>Anualizados</vt:lpstr>
      <vt:lpstr>Valor Acc</vt:lpstr>
      <vt:lpstr>Hoja1</vt:lpstr>
      <vt:lpstr>'Deuda Financiera'!_Hlk128663002</vt:lpstr>
      <vt:lpstr>'Resultados por Segmento'!_Hlk47472038</vt:lpstr>
      <vt:lpstr>Resultados!_Hlk70934545</vt:lpstr>
      <vt:lpstr>'Análisis de gastos'!_Toc534280096</vt:lpstr>
      <vt:lpstr>'Análisis de gastos'!_Toc534626058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Juan Carlos Palacios Rojas</cp:lastModifiedBy>
  <cp:lastPrinted>2011-04-19T13:35:12Z</cp:lastPrinted>
  <dcterms:created xsi:type="dcterms:W3CDTF">2009-05-16T00:13:33Z</dcterms:created>
  <dcterms:modified xsi:type="dcterms:W3CDTF">2024-11-14T17:25:50Z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</Properties>
</file>